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List1" sheetId="1" r:id="rId1"/>
    <sheet name="DV-IDENTITY-0" sheetId="2" state="veryHidden" r:id="rId2"/>
  </sheets>
  <definedNames>
    <definedName name="_xlnm._FilterDatabase" localSheetId="0" hidden="1">'List1'!$A$2:$I$510</definedName>
  </definedNames>
  <calcPr fullCalcOnLoad="1"/>
</workbook>
</file>

<file path=xl/sharedStrings.xml><?xml version="1.0" encoding="utf-8"?>
<sst xmlns="http://schemas.openxmlformats.org/spreadsheetml/2006/main" count="1546" uniqueCount="1043">
  <si>
    <t>Tach. vložky do bot Vertical Happy Souls pro muže, vel. US:12, EU:45</t>
  </si>
  <si>
    <t>Tach. vložky do bot Vertical Happy Souls pro muže, vel. US:13, EU:46</t>
  </si>
  <si>
    <t>Tach. vložky do bot Vertical Happy Souls pro muže, vel. US:14, EU:47</t>
  </si>
  <si>
    <t>Tach. vložky do bot Vertical Happy Souls pro muže, vel. US:15, EU:48</t>
  </si>
  <si>
    <t>Tach. vložky do bot Vertical Happy Souls pro muže, vel. US:8, EU:41</t>
  </si>
  <si>
    <t>Tach. vložky do bot Vertical Happy Souls pro muže, vel. US:9, EU:42</t>
  </si>
  <si>
    <t>Čelenky</t>
  </si>
  <si>
    <t>Vložky do bot</t>
  </si>
  <si>
    <t>Nátepníky</t>
  </si>
  <si>
    <t>Buňka Flex-Cell</t>
  </si>
  <si>
    <t>Mediatace a omezení stresu</t>
  </si>
  <si>
    <t>Vložky do bot Happy Souls</t>
  </si>
  <si>
    <t>Bandáže sportovní</t>
  </si>
  <si>
    <t>Buňky 13 mm</t>
  </si>
  <si>
    <t>Buňky 15 mm</t>
  </si>
  <si>
    <t>Buňky 24 mm</t>
  </si>
  <si>
    <t>Buňky 32 mm</t>
  </si>
  <si>
    <t>Buňky 35 a 75 mm</t>
  </si>
  <si>
    <t>Buňky 8 mm a 75 mm</t>
  </si>
  <si>
    <t>Samolepky k buňkám</t>
  </si>
  <si>
    <t>Masážní přípravky</t>
  </si>
  <si>
    <t>Přípravky na orgány</t>
  </si>
  <si>
    <t>Šperky - přívěsky</t>
  </si>
  <si>
    <t>Šperky - přívěsky skarebeus</t>
  </si>
  <si>
    <t>Šperky - hladké</t>
  </si>
  <si>
    <t>Péče o pleť</t>
  </si>
  <si>
    <t>Péče o zvířata</t>
  </si>
  <si>
    <t>Vnitřní omlazení</t>
  </si>
  <si>
    <t>Ochrana před elektrosmogem</t>
  </si>
  <si>
    <t>JE-GF8-AQU</t>
  </si>
  <si>
    <t>JE-GF8-EME</t>
  </si>
  <si>
    <t>JP-SRZ-L1-DKAM</t>
  </si>
  <si>
    <t>Tach. [stř.*] kulatý velký přívěsek L1 (se zirkonem) (amet. tm. fialový)</t>
  </si>
  <si>
    <t>JP-SRZ-L1-DKORA</t>
  </si>
  <si>
    <t>Tach. [stř.*] kulatý velký přívěsek L1 (se zirkonem) (tm. oranžový)</t>
  </si>
  <si>
    <t>JP-SRZ-L1-LTAM</t>
  </si>
  <si>
    <t>Tach. [stř.*] kulatý velký přívěsek L1 (se zirkonem) (amet. sv. fialový)</t>
  </si>
  <si>
    <t>JP-SRZ-L1-PINK</t>
  </si>
  <si>
    <t>Tach. [stř.*] kulatý velký přívěsek L1 (se zirkonem) (tm. růžový)</t>
  </si>
  <si>
    <t>JE-GF8-SAP</t>
  </si>
  <si>
    <t>JP-STAME</t>
  </si>
  <si>
    <t>JP-STAQU</t>
  </si>
  <si>
    <t>UF-M</t>
  </si>
  <si>
    <t>Tach. [zl.*] rám. náušnice 8mm (barva tyrkysu)</t>
  </si>
  <si>
    <t>Tach. [zl.*] rám. náušnice 8mm (smar. zelené)</t>
  </si>
  <si>
    <t>Tach. [zl.*] rám. náušnice 8mm (saf. modré)</t>
  </si>
  <si>
    <t>Tach. [stř.*] přívěsek - slza (amet. fialový)</t>
  </si>
  <si>
    <t>Tach. [stř.*] přívěsek - slza (barva tyrkysu)</t>
  </si>
  <si>
    <t>JE-F5A</t>
  </si>
  <si>
    <t>Tachyonized 5mm Ame. Gold Filled Stud E</t>
  </si>
  <si>
    <t>JE-F5E</t>
  </si>
  <si>
    <t>Tachyonized 5mm Eme. Gold Filled Stud Ea</t>
  </si>
  <si>
    <t>JE-F5P</t>
  </si>
  <si>
    <t>Tachyonized 5mm Pink Gold Filled Stud Ea</t>
  </si>
  <si>
    <t>JE-F5R</t>
  </si>
  <si>
    <t>Tachyonized 5mm Ruby Gold Filled Stud Ea</t>
  </si>
  <si>
    <t>JP-FLOGF</t>
  </si>
  <si>
    <t>Round-Cut Clear CZ Floater Pendant G.F.</t>
  </si>
  <si>
    <t>JP-GF15AQ</t>
  </si>
  <si>
    <t>15mm 14kt Gold Pendant Aqua</t>
  </si>
  <si>
    <t>JP-GF15EM</t>
  </si>
  <si>
    <t>15mm 14kt Gold Framed Pendant Emerald</t>
  </si>
  <si>
    <t>JP-GF15SA</t>
  </si>
  <si>
    <t>15mm 14kt Gold Framed Pendant Sapphire</t>
  </si>
  <si>
    <t>JP-PP</t>
  </si>
  <si>
    <t>Tach. Cardiovascular Tonic - povzbuzení srdce a cév **</t>
  </si>
  <si>
    <t>Tach. Chronic Bronchial Asthma Rem. - pomoc pro astmatiky **</t>
  </si>
  <si>
    <t>Tach. Circulation Enhancing Tonic - povzbuzení oběhové soustavy **</t>
  </si>
  <si>
    <t>Tach. Adrenal Stimulator - podpora nadledvinek **</t>
  </si>
  <si>
    <t>Tach. Brain and Cerebral Tonic - povzbuzení mozkové činnosti **</t>
  </si>
  <si>
    <t>Tach. Poison Oak, Ivy &amp; Sumac Rem. - při zasažení jedem škumpovitých rostlin **</t>
  </si>
  <si>
    <t>Cena se slevou 30%, bez DPH (USD)</t>
  </si>
  <si>
    <t>Tach. Siberian Ginseng - sibiřský ženšen **</t>
  </si>
  <si>
    <t>Tach. Heart Revitalizer - revitalizuje srdce **</t>
  </si>
  <si>
    <t>Tach. Liver Tonic - povzbuzení jater **</t>
  </si>
  <si>
    <t>Tach. Lymph System Tonic - povzbuzení lymfatického systému **</t>
  </si>
  <si>
    <t>Tach. Womens Ovarian Tonic - povzbuzení vaječníků **</t>
  </si>
  <si>
    <t>Tach. Prostate Tonic - povzbuzení prostaty **</t>
  </si>
  <si>
    <t>Tach. váček pro domácí zvířata (velký)</t>
  </si>
  <si>
    <t>Tach. váček pro domácí zvířata (střední)</t>
  </si>
  <si>
    <t>Tach. Passion-Dew 2.25 oz. - (66ml) - Rosa Vášně (lubrikant na kondomy) ***</t>
  </si>
  <si>
    <t>Tach. Panther Juice .5 oz. (14,7ml) ***</t>
  </si>
  <si>
    <t>Tach. Panther Juice 1 oz. (29,5ml) ***</t>
  </si>
  <si>
    <t>Tach. Panther Juice 2 oz. (59,1ml) ***</t>
  </si>
  <si>
    <t>JP-S35EME</t>
  </si>
  <si>
    <t>Tach. [stř.*] přívěsek 35 mm (smar. zelený)</t>
  </si>
  <si>
    <t>ATT ruční mixér (bez baterií) ****</t>
  </si>
  <si>
    <t>DEM-1</t>
  </si>
  <si>
    <t>DHA-1</t>
  </si>
  <si>
    <t>Tach. [zl.*] přívěsek - slza (ametystová)</t>
  </si>
  <si>
    <t>Tach. [zl.*] přívěsek - slza (barva tyrkysu)</t>
  </si>
  <si>
    <t>Tach. [zl.*] přívěsek - slza (smar. zelená)</t>
  </si>
  <si>
    <t>Tach. [zl.*] přívěsek - slza (silnější obruba) (smar. zelená)</t>
  </si>
  <si>
    <t>Tach. [zl.*] přívěsek - slza (silnější obruba) (saf. modrá)</t>
  </si>
  <si>
    <t>Tach. [zl.*] přívěsek - slza (zelená)</t>
  </si>
  <si>
    <t>Tach. [zl.*] přívěsek - slza (opálová)</t>
  </si>
  <si>
    <t>Tach. [zl.*] přívěsek - slza (růžová)</t>
  </si>
  <si>
    <t>Tach. [zl.*] přívěsek - slza (červená)</t>
  </si>
  <si>
    <t>Tach. [zl.*] přívěsek - slza (starorůžová)</t>
  </si>
  <si>
    <t>Tach. [stř.*] přívěsek 24 mm (amet. fialový)</t>
  </si>
  <si>
    <t>Tach. [stř.*] přívěsek 24 mm (barva tyrkysu)</t>
  </si>
  <si>
    <t>Tach. [stř.*] přívěsek 24 mm (smar. zelený)</t>
  </si>
  <si>
    <t>Tach. [stř.*] přívěsek 24 mm (zelený)</t>
  </si>
  <si>
    <t>Tach. [stř.*] přívěsek 24 mm (červený)</t>
  </si>
  <si>
    <t>Tach. [stř.*] přívěsek 24 mm (saf. modrý)</t>
  </si>
  <si>
    <t>Tach. [stř.*] přívěsek 35 mm (amet. fialový)</t>
  </si>
  <si>
    <t>Tach. [stř.*] přívěsek 35 mm (barva tyrkysu)</t>
  </si>
  <si>
    <t>Tach. [stř.*] přívěsek 35 mm (červený)</t>
  </si>
  <si>
    <t>Tach. [stř.*] přívěsek 35 mm (saf. modrý)</t>
  </si>
  <si>
    <t>Tach. [stř.*] přívěsek "Delfín" s buňkou (amet. fialová)</t>
  </si>
  <si>
    <t>Tach. [stř.*] přívěsek "Delfín" s buňkou (barva tyrkysu)</t>
  </si>
  <si>
    <t>Tach. [stř.*] přívěsek "Delfín" s buňkou (smar. zelená)</t>
  </si>
  <si>
    <t>Tach. [stř.*] přívěsek "Delfín" s buňkou (saf. modrá)</t>
  </si>
  <si>
    <t>Tach. [stř.*] přívěsek 15mm (barva tyrkysu)</t>
  </si>
  <si>
    <t>Tach. [stř.*] přívěsek 15mm (smar. zelený)</t>
  </si>
  <si>
    <t>Tach. [stř.*] přívěsek 15mm (saf. modrý)</t>
  </si>
  <si>
    <t>Tach. [stř.*] přívěsek - slza v obrubě (amet. fialový)</t>
  </si>
  <si>
    <t>Kód</t>
  </si>
  <si>
    <t>Klasifikace</t>
  </si>
  <si>
    <t>Produkt</t>
  </si>
  <si>
    <t>Tach. [stř.*] přívěsek - slza v obrubě (barva tyrkysu)</t>
  </si>
  <si>
    <t>Tach. [stř.*] přívěsek - slza v obrubě (zelený)</t>
  </si>
  <si>
    <t>Tach. [stř.*] přívěsek - slza v obrubě (opálový)</t>
  </si>
  <si>
    <t>Tach. 23mm Micro Disk na mobil (3ks)</t>
  </si>
  <si>
    <t>Tach. 23mm Micro Disk na mobil</t>
  </si>
  <si>
    <t>Tach. buňka 32mm trojúh. (amet. fialová)</t>
  </si>
  <si>
    <t>Tach. buňka 32mm trojúh. (barva tyrkysu)</t>
  </si>
  <si>
    <t>Tach. buňka 32mm trojúh. (smar. zelená)</t>
  </si>
  <si>
    <t>Tach. buňka 32mm trojúh. (zelená)</t>
  </si>
  <si>
    <t>Tach. buňka 32mm trojúh. (oranžová)</t>
  </si>
  <si>
    <t>Tach. buňka 32mm trojúh. (červená)</t>
  </si>
  <si>
    <t>Tach. buňka 32mm trojúh. (barva opálu)</t>
  </si>
  <si>
    <t>Tach. buňka 32mm trojúh. (saf. modrá)</t>
  </si>
  <si>
    <t>Tach. buňka 32mm trojúh. (žlutá)</t>
  </si>
  <si>
    <t>Tach. 5 mm mini buňky na mobil (6 ks)</t>
  </si>
  <si>
    <t>Tach. Flex-Cell 100 pás s buňkami</t>
  </si>
  <si>
    <t>RC-K110</t>
  </si>
  <si>
    <t>Tachyon Reference Charts 1 (English) 10 Pak</t>
  </si>
  <si>
    <t>RC-K130</t>
  </si>
  <si>
    <t>Tachyon Reference Chart 1 (English) 30 Pak</t>
  </si>
  <si>
    <t>RC-K210</t>
  </si>
  <si>
    <t>Tachyon Reference Charts 2 (English) 10 Pak</t>
  </si>
  <si>
    <t>RC-K230</t>
  </si>
  <si>
    <t>Tachyon Reference Charts 2 (English) 30 Pak</t>
  </si>
  <si>
    <t>RC-KG110</t>
  </si>
  <si>
    <t>Tachyon Reference Charts 1 (German) 10 Pak</t>
  </si>
  <si>
    <t>RC-KG130</t>
  </si>
  <si>
    <t>Tachyon Reference Charts 1 (German) 30 Pak</t>
  </si>
  <si>
    <t>RC-KG210</t>
  </si>
  <si>
    <t>Tachyon Reference Charts 2 (German) 10 Pak</t>
  </si>
  <si>
    <t>RC-KG230</t>
  </si>
  <si>
    <t>Tachyon Reference Charts 2 (German) 30 Pak</t>
  </si>
  <si>
    <t>RC-KGR</t>
  </si>
  <si>
    <t xml:space="preserve">Tachyon Reference Charts 1&amp;2 (German) </t>
  </si>
  <si>
    <t>RC-KR</t>
  </si>
  <si>
    <t>UPZ-16</t>
  </si>
  <si>
    <t>UPZ-4</t>
  </si>
  <si>
    <t>VIT-2</t>
  </si>
  <si>
    <t>VIT-2E</t>
  </si>
  <si>
    <t>WB-DB</t>
  </si>
  <si>
    <t>WB-DG</t>
  </si>
  <si>
    <t>WB-DN</t>
  </si>
  <si>
    <t>WB-DP</t>
  </si>
  <si>
    <t>WB-DW</t>
  </si>
  <si>
    <t>WB-LN</t>
  </si>
  <si>
    <t>WB-LP</t>
  </si>
  <si>
    <t>WB-R</t>
  </si>
  <si>
    <t>WC-1</t>
  </si>
  <si>
    <t>Tach. vložky do bot pro muže, vel. US:10, EU:43</t>
  </si>
  <si>
    <t>Tach. vložky do bot pro muže, vel. US:10.5, EU:43-44</t>
  </si>
  <si>
    <t>Tach. vložky do bot pro muže, vel. US:11, EU:44</t>
  </si>
  <si>
    <t>Tach. vložky do bot pro muže, vel. US:11.5, EU:44-45</t>
  </si>
  <si>
    <t>Tach. vložky do bot pro muže, vel. US:12, EU:45</t>
  </si>
  <si>
    <t>Tach. vložky do bot pro muže, vel. US:12.5, EU:45-46</t>
  </si>
  <si>
    <t>Tach. vložky do bot pro muže, vel. US:13, EU:46</t>
  </si>
  <si>
    <t>Tach. vložky do bot pro muže, vel. US:13.5, EU:46-47</t>
  </si>
  <si>
    <t>Tach. vložky do bot pro muže, vel. US:14, EU:47</t>
  </si>
  <si>
    <t>Tach. vložky do bot pro muže, vel. US:14.5, EU:47-48</t>
  </si>
  <si>
    <t>Tach. vložky do bot pro muže, vel. US:15, EU:48</t>
  </si>
  <si>
    <t>Tach. vložky do bot pro muže, vel. US:8, EU:41</t>
  </si>
  <si>
    <t>Tach. vložky do bot pro muže, vel. US:8.5, EU:41-42</t>
  </si>
  <si>
    <t>Tach. vložky do bot pro muže, vel. US:9, EU:42</t>
  </si>
  <si>
    <t>Tach. vložky do bot pro muže, vel. US:9.5, EU:42-43</t>
  </si>
  <si>
    <t>Tach. vložky do bot pro ženy, vel. US:10, EU:41</t>
  </si>
  <si>
    <t>Tach. vložky do bot pro ženy, vel. US:6, EU:37</t>
  </si>
  <si>
    <t>Tach. vložky do bot pro ženy, vel. US:6.5, EU:37-38</t>
  </si>
  <si>
    <t>Tach. vložky do bot pro ženy, vel. US:7, EU:38</t>
  </si>
  <si>
    <t>Tach. vložky do bot pro ženy, vel. US:7.5, EU:38-39</t>
  </si>
  <si>
    <t>Tach. vložky do bot pro ženy, vel. US:8, EU:39</t>
  </si>
  <si>
    <t>Tach. vložky do bot pro ženy, vel. US:8.5, EU:39-40</t>
  </si>
  <si>
    <t>Tach. vložky do bot pro ženy, vel. US:9, EU:40</t>
  </si>
  <si>
    <t>Tach. vložky do bot pro ženy, vel. US:9.5, EU:40-41</t>
  </si>
  <si>
    <t>FC-100</t>
  </si>
  <si>
    <t>FC-BELT</t>
  </si>
  <si>
    <t>GM-146</t>
  </si>
  <si>
    <t>GM-75</t>
  </si>
  <si>
    <t>HA-L</t>
  </si>
  <si>
    <t>HA-M</t>
  </si>
  <si>
    <t>HA-S</t>
  </si>
  <si>
    <t>HA-X</t>
  </si>
  <si>
    <t>HB-DB</t>
  </si>
  <si>
    <t>HB-DG</t>
  </si>
  <si>
    <t>HB-DP</t>
  </si>
  <si>
    <t>HB-DW</t>
  </si>
  <si>
    <t>HB-SHP</t>
  </si>
  <si>
    <t>HB-SPI</t>
  </si>
  <si>
    <t>HB-VB</t>
  </si>
  <si>
    <t>HB-VG</t>
  </si>
  <si>
    <t>HB-VN</t>
  </si>
  <si>
    <t>HB-VP</t>
  </si>
  <si>
    <t>HB-VPI</t>
  </si>
  <si>
    <t>HB-VR</t>
  </si>
  <si>
    <t>HB-VW</t>
  </si>
  <si>
    <t>HE-L</t>
  </si>
  <si>
    <t>HE-M</t>
  </si>
  <si>
    <t>HE-S</t>
  </si>
  <si>
    <t>HE-X</t>
  </si>
  <si>
    <t>HK-L</t>
  </si>
  <si>
    <t>HK-M</t>
  </si>
  <si>
    <t>HK-S</t>
  </si>
  <si>
    <t>HK-X</t>
  </si>
  <si>
    <t>HK-XXL</t>
  </si>
  <si>
    <t>HS-M10</t>
  </si>
  <si>
    <t>HS-M11</t>
  </si>
  <si>
    <t>HS-M12</t>
  </si>
  <si>
    <t>HS-M13</t>
  </si>
  <si>
    <t>HS-M14</t>
  </si>
  <si>
    <t>HS-M15</t>
  </si>
  <si>
    <t>HS-M8</t>
  </si>
  <si>
    <t>HS-M9</t>
  </si>
  <si>
    <t>HS-VM10</t>
  </si>
  <si>
    <t>HS-VM11</t>
  </si>
  <si>
    <t>HS-VM12</t>
  </si>
  <si>
    <t>HS-VM13</t>
  </si>
  <si>
    <t>HS-VM14</t>
  </si>
  <si>
    <t>HS-VM15</t>
  </si>
  <si>
    <t>HS-VM8</t>
  </si>
  <si>
    <t>HS-VM9</t>
  </si>
  <si>
    <t>HS-VW10</t>
  </si>
  <si>
    <t>HS-VW6</t>
  </si>
  <si>
    <t>HS-VW7</t>
  </si>
  <si>
    <t>HS-VW8</t>
  </si>
  <si>
    <t>HS-VW9</t>
  </si>
  <si>
    <t>HS-W10</t>
  </si>
  <si>
    <t>HS-W6</t>
  </si>
  <si>
    <t>HS-W7</t>
  </si>
  <si>
    <t>HS-W8</t>
  </si>
  <si>
    <t>HS-W9</t>
  </si>
  <si>
    <t>JE-F5C</t>
  </si>
  <si>
    <t>JE-GS8AME</t>
  </si>
  <si>
    <t>JE-GS8AQU</t>
  </si>
  <si>
    <t>JE-GS8EME</t>
  </si>
  <si>
    <t>JE-GS8GRE</t>
  </si>
  <si>
    <t>JE-GS8RED</t>
  </si>
  <si>
    <t>JE-GS8SAP</t>
  </si>
  <si>
    <t>JE-S5C</t>
  </si>
  <si>
    <t>JE-S5E</t>
  </si>
  <si>
    <t>JE-S5P</t>
  </si>
  <si>
    <t>JE-S5R</t>
  </si>
  <si>
    <t>JE-SF8-AME</t>
  </si>
  <si>
    <t>JE-SF8-AQU</t>
  </si>
  <si>
    <t>JE-SF8-EME</t>
  </si>
  <si>
    <t>JE-SF8-SAP</t>
  </si>
  <si>
    <t>JE-SS8AME</t>
  </si>
  <si>
    <t>JE-SS8AQU</t>
  </si>
  <si>
    <t>JE-SS8EME</t>
  </si>
  <si>
    <t>JE-SS8GRE</t>
  </si>
  <si>
    <t>JE-SS8RED</t>
  </si>
  <si>
    <t>JE-SS8SAP</t>
  </si>
  <si>
    <t>JE-SSF8AME</t>
  </si>
  <si>
    <t>JE-SSF8AQU</t>
  </si>
  <si>
    <t>JE-SSF8EME</t>
  </si>
  <si>
    <t>JE-SSF8GRE</t>
  </si>
  <si>
    <t>JE-SSF8RED</t>
  </si>
  <si>
    <t>JE-SSF8ROS</t>
  </si>
  <si>
    <t>JE-SSF8SAP</t>
  </si>
  <si>
    <t>JP-FLOS</t>
  </si>
  <si>
    <t>JP-GTAME</t>
  </si>
  <si>
    <t>JP-GTAQU</t>
  </si>
  <si>
    <t>JP-GTEME</t>
  </si>
  <si>
    <t>JP-GTFAQ</t>
  </si>
  <si>
    <t>JP-GTFOP</t>
  </si>
  <si>
    <t>JP-GTFSA</t>
  </si>
  <si>
    <t>JP-GTGRE</t>
  </si>
  <si>
    <t>JP-GTOPA</t>
  </si>
  <si>
    <t>JP-GTPIN</t>
  </si>
  <si>
    <t>JP-GTRED</t>
  </si>
  <si>
    <t>JP-GTROS</t>
  </si>
  <si>
    <t>JP-GTSAP</t>
  </si>
  <si>
    <t>JP-LM1.5</t>
  </si>
  <si>
    <t>JP-LM2</t>
  </si>
  <si>
    <t>JP-LMFS1.5</t>
  </si>
  <si>
    <t>JP-LMFS2</t>
  </si>
  <si>
    <t>JP-LW1.5</t>
  </si>
  <si>
    <t>JP-OHRAS</t>
  </si>
  <si>
    <t>JP-OHS</t>
  </si>
  <si>
    <t>JP-OHSEA</t>
  </si>
  <si>
    <t>JP-S.75</t>
  </si>
  <si>
    <t>JP-S1.0</t>
  </si>
  <si>
    <t>JP-S24AME</t>
  </si>
  <si>
    <t>JP-S24AQU</t>
  </si>
  <si>
    <t>JP-S24EME</t>
  </si>
  <si>
    <t>JP-S24GRE</t>
  </si>
  <si>
    <t>JP-S24RED</t>
  </si>
  <si>
    <t>JP-S24SAP</t>
  </si>
  <si>
    <t>JP-S35AME</t>
  </si>
  <si>
    <t>JP-S35AQU</t>
  </si>
  <si>
    <t>JP-S35RED</t>
  </si>
  <si>
    <t>JP-S35SAP</t>
  </si>
  <si>
    <t>JP-SDAAM</t>
  </si>
  <si>
    <t>JP-SDAAQ</t>
  </si>
  <si>
    <t>JP-SDAEM</t>
  </si>
  <si>
    <t>JP-SDASA</t>
  </si>
  <si>
    <t>JP-SF15AQ</t>
  </si>
  <si>
    <t>JP-SF15EM</t>
  </si>
  <si>
    <t>JP-SF15SA</t>
  </si>
  <si>
    <t>JP-SHHL-CLEAR</t>
  </si>
  <si>
    <t>JP-SHHM-CLEAR</t>
  </si>
  <si>
    <t>JP-SHHM-DKAME</t>
  </si>
  <si>
    <t>JP-SRZ-L-AQU</t>
  </si>
  <si>
    <t>JP-SRZ-L-CLEAR</t>
  </si>
  <si>
    <t>JP-SRZ-L-DKAM</t>
  </si>
  <si>
    <t>JP-SRZ-L-DKOR</t>
  </si>
  <si>
    <t>JP-SRZ-L-GREH</t>
  </si>
  <si>
    <t>JP-SRZ-L-LTAM</t>
  </si>
  <si>
    <t>JP-SRZ-L-LTORA</t>
  </si>
  <si>
    <t>JP-SRZ-L-PINK</t>
  </si>
  <si>
    <t>JP-SRZ-L-YELLOW</t>
  </si>
  <si>
    <t>JP-SRZ-M-AQU</t>
  </si>
  <si>
    <t>JP-SRZ-M-CLEAR</t>
  </si>
  <si>
    <t>JP-SRZ-M-DKAM</t>
  </si>
  <si>
    <t>JP-SRZ-M-LTAM</t>
  </si>
  <si>
    <t>JP-SRZ-M-LTOR</t>
  </si>
  <si>
    <t>JP-SRZ-M-YELLOW</t>
  </si>
  <si>
    <t>JP-SRZ-M1-DKAM</t>
  </si>
  <si>
    <t>JP-SRZ-M1-DKOR</t>
  </si>
  <si>
    <t>JP-SRZ-M1-LTOR</t>
  </si>
  <si>
    <t>JP-SRZ-M1-YELLOW</t>
  </si>
  <si>
    <t>JP-SRZ-MINI-AQUA</t>
  </si>
  <si>
    <t>JP-SRZ-MINI-CLEAR</t>
  </si>
  <si>
    <t>JP-SRZ-MINI-DKAME</t>
  </si>
  <si>
    <t>JP-SRZ-MINI-EME</t>
  </si>
  <si>
    <t>JP-SRZ-MINI-LTAME</t>
  </si>
  <si>
    <t>JP-SRZ-MINI-YEL</t>
  </si>
  <si>
    <t>JP-SRZ-P-AQU</t>
  </si>
  <si>
    <t>JP-SRZ-P-CLEAR</t>
  </si>
  <si>
    <t>JP-SRZ-P-DKAME</t>
  </si>
  <si>
    <t>JP-SRZ-P-LTAME</t>
  </si>
  <si>
    <t>JP-SRZ-P-ORA</t>
  </si>
  <si>
    <t>JP-SRZ-P-YEL</t>
  </si>
  <si>
    <t>JP-SRZ-S-AQU</t>
  </si>
  <si>
    <t>JP-SRZ-S-CLEAR</t>
  </si>
  <si>
    <t>JP-SRZ-S-DKAM</t>
  </si>
  <si>
    <t>JP-SRZ-S-DKOR</t>
  </si>
  <si>
    <t>JP-SRZ-S-LTAME</t>
  </si>
  <si>
    <t>JP-SRZ-S-YEL</t>
  </si>
  <si>
    <t>JP-STFAM</t>
  </si>
  <si>
    <t>JP-STFAQ</t>
  </si>
  <si>
    <t>JP-STFGR</t>
  </si>
  <si>
    <t>JP-STFOP</t>
  </si>
  <si>
    <t>JP-STFSA</t>
  </si>
  <si>
    <t>JP-STGRE</t>
  </si>
  <si>
    <t>JP-STOPA</t>
  </si>
  <si>
    <t>JP-STPIN</t>
  </si>
  <si>
    <t>JP-STRED</t>
  </si>
  <si>
    <t>JP-STSAP</t>
  </si>
  <si>
    <t>LP-1</t>
  </si>
  <si>
    <t>MIX-1</t>
  </si>
  <si>
    <t>OS-H1</t>
  </si>
  <si>
    <t>OS-H10</t>
  </si>
  <si>
    <t>OS-H11</t>
  </si>
  <si>
    <t>OS-H12</t>
  </si>
  <si>
    <t>OS-H13</t>
  </si>
  <si>
    <t>OS-H14</t>
  </si>
  <si>
    <t>OS-H15</t>
  </si>
  <si>
    <t>OS-H16</t>
  </si>
  <si>
    <t>OS-H17</t>
  </si>
  <si>
    <t>OS-H18</t>
  </si>
  <si>
    <t>OS-H19</t>
  </si>
  <si>
    <t>OS-H2</t>
  </si>
  <si>
    <t>OS-H20</t>
  </si>
  <si>
    <t>OS-H21</t>
  </si>
  <si>
    <t>OS-H22</t>
  </si>
  <si>
    <t>OS-H23</t>
  </si>
  <si>
    <t>OS-H24</t>
  </si>
  <si>
    <t>OS-H25</t>
  </si>
  <si>
    <t>OS-H26</t>
  </si>
  <si>
    <t>OS-H27</t>
  </si>
  <si>
    <t>OS-H28</t>
  </si>
  <si>
    <t>OS-H29</t>
  </si>
  <si>
    <t>OS-H3</t>
  </si>
  <si>
    <t>OS-H30</t>
  </si>
  <si>
    <t>OS-H31</t>
  </si>
  <si>
    <t>OS-H32</t>
  </si>
  <si>
    <t>OS-H33</t>
  </si>
  <si>
    <t>OS-H34</t>
  </si>
  <si>
    <t>OS-H35</t>
  </si>
  <si>
    <t>OS-H36</t>
  </si>
  <si>
    <t>OS-H4</t>
  </si>
  <si>
    <t>OS-H5</t>
  </si>
  <si>
    <t>OS-H6</t>
  </si>
  <si>
    <t>OS-H7</t>
  </si>
  <si>
    <t>OS-H8</t>
  </si>
  <si>
    <t>OS-H9</t>
  </si>
  <si>
    <t>OS-HADR</t>
  </si>
  <si>
    <t>OS-HBRA</t>
  </si>
  <si>
    <t>OS-HGIN</t>
  </si>
  <si>
    <t>OS-HHRT</t>
  </si>
  <si>
    <t>OS-HLIV</t>
  </si>
  <si>
    <t>OS-HLYM</t>
  </si>
  <si>
    <t>OS-HOVA</t>
  </si>
  <si>
    <t>OS-HPRO</t>
  </si>
  <si>
    <t>PC-M</t>
  </si>
  <si>
    <t>PC-MD</t>
  </si>
  <si>
    <t>PC-MD3</t>
  </si>
  <si>
    <t>PD-1</t>
  </si>
  <si>
    <t>PJ-.5</t>
  </si>
  <si>
    <t>PJ-1</t>
  </si>
  <si>
    <t>PJ-2</t>
  </si>
  <si>
    <t>PJ-M</t>
  </si>
  <si>
    <t>PP-L</t>
  </si>
  <si>
    <t>PP-M</t>
  </si>
  <si>
    <t>RA-1</t>
  </si>
  <si>
    <t>S-L18</t>
  </si>
  <si>
    <t>S-L20</t>
  </si>
  <si>
    <t>S-L24</t>
  </si>
  <si>
    <t>S-SH</t>
  </si>
  <si>
    <t>SD-1</t>
  </si>
  <si>
    <t>SD-3</t>
  </si>
  <si>
    <t>SD-6</t>
  </si>
  <si>
    <t>SD-63</t>
  </si>
  <si>
    <t>SG-1</t>
  </si>
  <si>
    <t>SG-2</t>
  </si>
  <si>
    <t>SN-1</t>
  </si>
  <si>
    <t>SP-1</t>
  </si>
  <si>
    <t>SP-225</t>
  </si>
  <si>
    <t>SP-475</t>
  </si>
  <si>
    <t>SP-B</t>
  </si>
  <si>
    <t>SS-45A</t>
  </si>
  <si>
    <t>SS-45B</t>
  </si>
  <si>
    <t>SS-45L</t>
  </si>
  <si>
    <t>SS-45P</t>
  </si>
  <si>
    <t>SS-45W</t>
  </si>
  <si>
    <t>SS-45WB</t>
  </si>
  <si>
    <t>SS-55B</t>
  </si>
  <si>
    <t>SS-55S</t>
  </si>
  <si>
    <t>SS-55T</t>
  </si>
  <si>
    <t>SS-55W</t>
  </si>
  <si>
    <t>ST-200</t>
  </si>
  <si>
    <t>ST-75</t>
  </si>
  <si>
    <t>T13-AME</t>
  </si>
  <si>
    <t>T13-AQU</t>
  </si>
  <si>
    <t>T13-EME</t>
  </si>
  <si>
    <t>T13-GOL</t>
  </si>
  <si>
    <t>T13-GRE</t>
  </si>
  <si>
    <t>T13-ORA</t>
  </si>
  <si>
    <t>T13-RED</t>
  </si>
  <si>
    <t>T13-RO</t>
  </si>
  <si>
    <t>T13-ROS</t>
  </si>
  <si>
    <t>T13-SAP</t>
  </si>
  <si>
    <t>T13-YEL</t>
  </si>
  <si>
    <t>T15-AME</t>
  </si>
  <si>
    <t>T15-AQU</t>
  </si>
  <si>
    <t>T15-EME</t>
  </si>
  <si>
    <t>T15-GOL</t>
  </si>
  <si>
    <t>T15-GRE</t>
  </si>
  <si>
    <t>T15-MD</t>
  </si>
  <si>
    <t>T15-MD3</t>
  </si>
  <si>
    <t>T15-ORA</t>
  </si>
  <si>
    <t>T15-RED</t>
  </si>
  <si>
    <t>T15-RO</t>
  </si>
  <si>
    <t>T15-ROS</t>
  </si>
  <si>
    <t>T15-SAP</t>
  </si>
  <si>
    <t>T15-YEL</t>
  </si>
  <si>
    <t>T24-AME</t>
  </si>
  <si>
    <t>T24-AQU</t>
  </si>
  <si>
    <t>T24-EME</t>
  </si>
  <si>
    <t>T24-GOL</t>
  </si>
  <si>
    <t>T24-GRE</t>
  </si>
  <si>
    <t>T24-ORA</t>
  </si>
  <si>
    <t>T24-RED</t>
  </si>
  <si>
    <t>T24-RO</t>
  </si>
  <si>
    <t>T24-SAP</t>
  </si>
  <si>
    <t>T24-YEL</t>
  </si>
  <si>
    <t>T28-MD</t>
  </si>
  <si>
    <t>T28-MD3</t>
  </si>
  <si>
    <t>T32-AME</t>
  </si>
  <si>
    <t>T32-AQU</t>
  </si>
  <si>
    <t>T32-EME</t>
  </si>
  <si>
    <t>T32-GRE</t>
  </si>
  <si>
    <t>T32-ORA</t>
  </si>
  <si>
    <t>T32-RED</t>
  </si>
  <si>
    <t>T32-RO</t>
  </si>
  <si>
    <t>T32-SAP</t>
  </si>
  <si>
    <t>T32-YEL</t>
  </si>
  <si>
    <t>T35-MD</t>
  </si>
  <si>
    <t>T35-MD3</t>
  </si>
  <si>
    <t>T35-RED</t>
  </si>
  <si>
    <t>T75-RO</t>
  </si>
  <si>
    <t>T8-RIS</t>
  </si>
  <si>
    <t>T8-RO</t>
  </si>
  <si>
    <t>TAP-2</t>
  </si>
  <si>
    <t>TC-1</t>
  </si>
  <si>
    <t>TP-1</t>
  </si>
  <si>
    <t>TS-16</t>
  </si>
  <si>
    <t>TS-4</t>
  </si>
  <si>
    <t>TS-FR4</t>
  </si>
  <si>
    <t>TSD-40</t>
  </si>
  <si>
    <t>TSD-8</t>
  </si>
  <si>
    <t>TV-1</t>
  </si>
  <si>
    <t>UA-1</t>
  </si>
  <si>
    <t>UC-16</t>
  </si>
  <si>
    <t>UC-4</t>
  </si>
  <si>
    <t>UC-8</t>
  </si>
  <si>
    <t>UE-1</t>
  </si>
  <si>
    <t>AG-M10</t>
  </si>
  <si>
    <t>AG-M101-2</t>
  </si>
  <si>
    <t>AG-M11</t>
  </si>
  <si>
    <t>AG-M111-2</t>
  </si>
  <si>
    <t>AG-M12</t>
  </si>
  <si>
    <t>AG-M121-2</t>
  </si>
  <si>
    <t>AG-M13</t>
  </si>
  <si>
    <t>AG-M131-2</t>
  </si>
  <si>
    <t>AG-M14</t>
  </si>
  <si>
    <t>AG-M141-2</t>
  </si>
  <si>
    <t>AG-M15</t>
  </si>
  <si>
    <t>AG-M8</t>
  </si>
  <si>
    <t>AG-M81-2</t>
  </si>
  <si>
    <t>AG-M9</t>
  </si>
  <si>
    <t>AG-M91-2</t>
  </si>
  <si>
    <t>AG-W10</t>
  </si>
  <si>
    <t>AG-W6</t>
  </si>
  <si>
    <t>AG-W61-2</t>
  </si>
  <si>
    <t>AG-W7</t>
  </si>
  <si>
    <t>AG-W71-2</t>
  </si>
  <si>
    <t>AG-W8</t>
  </si>
  <si>
    <t>AG-W81-2</t>
  </si>
  <si>
    <t>AG-W9</t>
  </si>
  <si>
    <t>AG-W91-2</t>
  </si>
  <si>
    <t>BG-2</t>
  </si>
  <si>
    <t>BG-200</t>
  </si>
  <si>
    <t>BG-4</t>
  </si>
  <si>
    <t>BG-75</t>
  </si>
  <si>
    <t>CH-15</t>
  </si>
  <si>
    <t>CH-24</t>
  </si>
  <si>
    <t>CH-32</t>
  </si>
  <si>
    <t>CUB-1</t>
  </si>
  <si>
    <t>Sada 15mm buňek pro vyvažování čaker</t>
  </si>
  <si>
    <t>Sada 24mm buňek pro vyvažování čaker</t>
  </si>
  <si>
    <t>Sada 32mm buňek pro vyvažování čaker</t>
  </si>
  <si>
    <t>Tach. kostka</t>
  </si>
  <si>
    <t>Ušní zátky s Tach. 5mm buňkami</t>
  </si>
  <si>
    <t>Samostatný pás pro buňku Flex-Cell 100</t>
  </si>
  <si>
    <t>Tach. kotníková bandáž velká (20,3-22,9 cm)</t>
  </si>
  <si>
    <t>Tach. kotníková bandáž střední (17,8-20,3 cm)</t>
  </si>
  <si>
    <t>Tach. kotníková bandáž malá (15,2-17,8 cm)</t>
  </si>
  <si>
    <t>Tach. kotníková bandáž extra velká (22,8-25,4 cm)</t>
  </si>
  <si>
    <t>Tach. luxusní strečová čelenka černá</t>
  </si>
  <si>
    <t>Tach. luxusní strečová čelenka šedá</t>
  </si>
  <si>
    <t>Tach. luxusní strečová čelenka růžová</t>
  </si>
  <si>
    <t>Tach. luxusní strečová čelenka bílá</t>
  </si>
  <si>
    <t>Tach. čelenka na suchý zip černá</t>
  </si>
  <si>
    <t>Tach. čelenka na suchý zip šedá</t>
  </si>
  <si>
    <t>Tach. čelenka na suchý zip tmavomodrá</t>
  </si>
  <si>
    <t>Tach. čelenka na suchý zip růžová</t>
  </si>
  <si>
    <t>Tach. čelenka na suchý zip bílá</t>
  </si>
  <si>
    <t>Tach. loketní bandáž velká (25,4-30,5 cm)</t>
  </si>
  <si>
    <t>Tach. loketní bandáž střední (24,1-29,2 cm)</t>
  </si>
  <si>
    <t>Tach. loketní bandáž malá  (20,3-25,4 cm)</t>
  </si>
  <si>
    <t>Tach. loketní bandáž extra velká  (26,7-31,8 cm)</t>
  </si>
  <si>
    <t>Tach. kolenní bandáž velká  (26,7-31,8 cm)</t>
  </si>
  <si>
    <t>Tach. kolenní bandáž střední  (25,4-30,5 cm)</t>
  </si>
  <si>
    <t>Tach. kolenní bandáž malá  (20,3-25,4 cm)</t>
  </si>
  <si>
    <t>Tach. kolenní bandáž extra velká  (30,5-35,6 cm)</t>
  </si>
  <si>
    <t>Tach. kolenní bandáž extra velmi velká  (31,8-36,8 cm)</t>
  </si>
  <si>
    <t>Tach. vložky do bot Happy Souls pro muže, vel. US:10, EU:43</t>
  </si>
  <si>
    <t>Tach. vložky do bot Happy Souls pro muže, vel. US:11, EU:44</t>
  </si>
  <si>
    <t>Tach. vložky do bot Happy Souls pro muže, vel. US:12, EU:45</t>
  </si>
  <si>
    <t>Tach. vložky do bot Happy Souls pro muže, vel. US:13, EU:46</t>
  </si>
  <si>
    <t>Tach. vložky do bot Happy Souls pro muže, vel. US:14, EU:47</t>
  </si>
  <si>
    <t>Tach. vložky do bot Happy Souls pro muže, vel. US:15, EU:48</t>
  </si>
  <si>
    <t>Tach. vložky do bot Happy Souls pro muže, vel. US:8, EU:41</t>
  </si>
  <si>
    <t>Tach. vložky do bot Happy Souls pro muže, vel. US:9, EU:42</t>
  </si>
  <si>
    <t>Tach. vložky do bot Happy Souls pro ženy, vel. US:10, EU:41</t>
  </si>
  <si>
    <t>Tach. vložky do bot Happy Souls pro ženy, vel. US:6, EU:37</t>
  </si>
  <si>
    <t>Tach. vložky do bot Happy Souls pro ženy, vel. US:7, EU:38</t>
  </si>
  <si>
    <t>Tach. vložky do bot Happy Souls pro ženy, vel. US:8, EU:39</t>
  </si>
  <si>
    <t>Tach. vložky do bot Happy Souls pro ženy, vel. US:9, EU:40</t>
  </si>
  <si>
    <t>Tach. [zl.*] přívěsek - slza (saf. modrá)</t>
  </si>
  <si>
    <t>Tach. 8 mm náušnice (amet. fialové)</t>
  </si>
  <si>
    <t>Tach. 8 mm náušnice (barva tyrkysu)</t>
  </si>
  <si>
    <t>Tach. 8 mm náušnice (smar. zelené)</t>
  </si>
  <si>
    <t>Tach. 8 mm náušnice (saf. modré)</t>
  </si>
  <si>
    <t>Tach. přívěsek - krajinka 1.5</t>
  </si>
  <si>
    <t>Tach. přívěsek - krajinka 2</t>
  </si>
  <si>
    <t>Tach. přívěsek - krajinka s vistárií 1.5</t>
  </si>
  <si>
    <t>Přívěsek "otevřené srdce" + 3 Tach. buňky (24 mm)</t>
  </si>
  <si>
    <t>Přívěsek "otevřené srdce" bez tach. buňek</t>
  </si>
  <si>
    <t>Tach. přívěsek "skarabeus" (brouk) 3/4in (19 mm)</t>
  </si>
  <si>
    <t>Tach. přívěsek "skarabeus" (brouk) 1in (25 mm)</t>
  </si>
  <si>
    <t>Velký přívěsek srdce v srdci (se zirkonem) (čirý)</t>
  </si>
  <si>
    <t>Střední přívěsek srdce v srdci (se zirkonem) (čirý)</t>
  </si>
  <si>
    <t>Střední přívěsek srdce v srdci (se zirkonem) (amet. fialový)</t>
  </si>
  <si>
    <t>Tach. [stř.*] přívěsek se zirkonem</t>
  </si>
  <si>
    <t>Šperky - náušnice [stř.*]</t>
  </si>
  <si>
    <t>Šperky - náušnice [zl.*]</t>
  </si>
  <si>
    <t>Šperky - přívěsky [zl.*]</t>
  </si>
  <si>
    <t>Šperky - řetízky [stř.*]</t>
  </si>
  <si>
    <t>Tach. modrozelená řasa 3/4 oz (21 g) **</t>
  </si>
  <si>
    <t>Tach. modrozelená řasa 200 kapslí **</t>
  </si>
  <si>
    <t>Tach. modrozelená řasa 1/4 lbs (113 g) **</t>
  </si>
  <si>
    <t>Tach. modrozelená řasa 75 kapslí **</t>
  </si>
  <si>
    <t>Tach. kapsle DHA 45 **</t>
  </si>
  <si>
    <t>Tach. přípravek Green-Matrix 8oz (226 g) **</t>
  </si>
  <si>
    <t>Tach. přípravek Green-Matrix 4oz (113 g) **</t>
  </si>
  <si>
    <t>Tach. Silica Gel 1/2 oz. (14,7 ml) **</t>
  </si>
  <si>
    <t>Tach. Silica Gel 1 oz. (29,5 ml) **</t>
  </si>
  <si>
    <t>Tach. prášek z řasy Spirulina 2.25oz (63,7g) **</t>
  </si>
  <si>
    <t>Tach. prášek z řasy Spirulina 4.75oz (134,6g) **</t>
  </si>
  <si>
    <t>Tach. řasa Spirulina (200 tablet) **</t>
  </si>
  <si>
    <t>Tach. řasa Spirulina (75 tablet) **</t>
  </si>
  <si>
    <t>Tach. UltraProZyme 16oz. - podpora imunity (473ml) **</t>
  </si>
  <si>
    <t>Tach. UltraProZyme 4oz. - podpora imunity (118ml) **</t>
  </si>
  <si>
    <t>The Enhancer - pro zlepšení výkonu a vitality **</t>
  </si>
  <si>
    <t>Tach. Anti-Inflamatory - prostředek proti zánětu 1 oz (28 g) **</t>
  </si>
  <si>
    <t>Tach. Cold&amp;Flu Remedy - prostředek proti chřipce a nachlazení **</t>
  </si>
  <si>
    <t>Tach. Estrogen Enhancing Tonic - pro doplnění estrogenu **</t>
  </si>
  <si>
    <t>Tach. General Health Tonic - pro celkové zlepšení zdraví **</t>
  </si>
  <si>
    <t>Tach. Gynecological Tonic - gynekologické tonikum **</t>
  </si>
  <si>
    <t>Tach. Hayfever &amp; Allergy Remedy - proti senné rýmě a alergii **</t>
  </si>
  <si>
    <t>Tach. Headache &amp; Migraine Remedy - proti bolesti hlavy a migréně **</t>
  </si>
  <si>
    <t>Tach. Herbal Ear Drops - bylinné ušní kapky **</t>
  </si>
  <si>
    <t>Tach. Herbal Eyewash - bylinná oční kapky **</t>
  </si>
  <si>
    <t>Tach. Herbal Tonic for Athletes - bylinné tonikum pro sportovce **</t>
  </si>
  <si>
    <t>Tach. Blood Pressure Tonic - proti vysokému krevnímu tlaku **</t>
  </si>
  <si>
    <t>Tach. Anti-Trauma Remedy - pomáhá po bolestivých zraněních **</t>
  </si>
  <si>
    <t>Tach. Immune System Tonic - povzbuzuje imunitní systém **</t>
  </si>
  <si>
    <t>Tach. Liver &amp; Gall Bladder Tonic - tonikum pro játra a žlučník **</t>
  </si>
  <si>
    <t>Tach. Lymphatic &amp; Glandular Tonic - povzbuzení lymafatického systému a žláz **</t>
  </si>
  <si>
    <t>Tach. Prostate Gland Tonic - povzbuzuje prostatu **</t>
  </si>
  <si>
    <t>Tach. Restorative Adrenal Gland - regeneruje nadledvinky **</t>
  </si>
  <si>
    <t>Tach. Restorative Nerve Preperation - regeneruje nervy **</t>
  </si>
  <si>
    <t>Tach. Restorative Venous Tonic - regeneruje cévy **</t>
  </si>
  <si>
    <t>Tach. Sexual Tonic - povzbuzuje sexualitu **</t>
  </si>
  <si>
    <t>Tach. Skin Corrective - pomáhá při kožních poruchách **</t>
  </si>
  <si>
    <t>Tach. Antispasmodic Tincture - tinktura pro uvolnění křečí **</t>
  </si>
  <si>
    <t>Tach. Sugar Metabolism Tonic - povzbuzuje metabolismus cukrů **</t>
  </si>
  <si>
    <t>Tach. Tobacco Addiction - pomáhá při odvykání kouření **</t>
  </si>
  <si>
    <t>Tach. Urinary Incontinence Remedy - pomáhá při inkontinenci moči **</t>
  </si>
  <si>
    <t>Tach. Urinary Tract Calcui Remedy - rozpouští ledvinové kaménky **</t>
  </si>
  <si>
    <t>Tach. Urinary Tract Tonic - povzbuzení pro močovou soustavu **</t>
  </si>
  <si>
    <t>Tach. Women's Menopausal Tonic - povzbuzení pro ženy v přechodu **</t>
  </si>
  <si>
    <t>Tach. Fasting Elixir - elixír pro půsty **</t>
  </si>
  <si>
    <t>Tach. Antiviral Remedy - antivirový přípravek **</t>
  </si>
  <si>
    <t>Tach. Arom. Carminative &amp; Anti-Nausean - proti nadýmání a zvracení **</t>
  </si>
  <si>
    <t>Tach. Brain &amp; Memory Tonic - povzbuzení mozku a paměti **</t>
  </si>
  <si>
    <t>Tachyon Reference Charts 1&amp;2 (English)</t>
  </si>
  <si>
    <t>SV-T5</t>
  </si>
  <si>
    <t>Tachyonized Tach-O-Cal 1/2 oz.</t>
  </si>
  <si>
    <t>WB-PI</t>
  </si>
  <si>
    <t>Tachyonized Pale Pink Wrist-Bands</t>
  </si>
  <si>
    <t>Tach. buňka 13mm (smar. zelená)</t>
  </si>
  <si>
    <t>Tach. buňka 13mm (zelená)</t>
  </si>
  <si>
    <t>Tach. buňka 13mm (oranžová)</t>
  </si>
  <si>
    <t>Tach. buňka 13mm (červená)</t>
  </si>
  <si>
    <t>Tach. buňka 13mm (barva opálu)</t>
  </si>
  <si>
    <t>Tach. buňka 13mm (saf. modrá)</t>
  </si>
  <si>
    <t>Tach. buňka 15mm (amet. fialová)</t>
  </si>
  <si>
    <t>Tach. buňka 15mm (barva tyrkysu)</t>
  </si>
  <si>
    <t>Tach. buňka 15mm (smar. zelená)</t>
  </si>
  <si>
    <t>Tach. buňka 15mm (zelená)</t>
  </si>
  <si>
    <t>Tach. 15mm Micro Disk</t>
  </si>
  <si>
    <t>Tach. 15mm Micro Disk (3 ks)</t>
  </si>
  <si>
    <t>Tach. buňka 15mm (oranžová)</t>
  </si>
  <si>
    <t>Tach. buňka 15mm (červená)</t>
  </si>
  <si>
    <t>Tach. buňka 15mm (barva opálu)</t>
  </si>
  <si>
    <t>Tach. buňka 15mm (saf. modrá)</t>
  </si>
  <si>
    <t>Tach. buňka 15mm (žlutá)</t>
  </si>
  <si>
    <t>Tach. buňka 24mm (amet. fialová)</t>
  </si>
  <si>
    <t>Tach. buňka 24mm (barva tyrkysu)</t>
  </si>
  <si>
    <t>Tach. buňka 24mm (smar. zelená)</t>
  </si>
  <si>
    <t>Tach. buňka 24mm (zelená)</t>
  </si>
  <si>
    <t>Tach. buňka 24mm (oranžová)</t>
  </si>
  <si>
    <t>Tach. buňka 24mm (červená)</t>
  </si>
  <si>
    <t>Tach. buňka 24mm (barva opálu)</t>
  </si>
  <si>
    <t>Tach. buňka 24mm (saf. modrá)</t>
  </si>
  <si>
    <t>Tach. buňka 24mm (žlutá)</t>
  </si>
  <si>
    <t>Tach. buňka 33-35mm (červená)</t>
  </si>
  <si>
    <t>Tach. buňka 75mm (čirá, sražené hrany)</t>
  </si>
  <si>
    <t>Tach. buňky 8mm (saf. modré) (6 ks)</t>
  </si>
  <si>
    <t>Tach. buňky 8mm (barva opálu) (6 ks)</t>
  </si>
  <si>
    <t>Papírová lepící páska na buňky šířka 2" (5cm)</t>
  </si>
  <si>
    <t>Tach. polštářek na oči</t>
  </si>
  <si>
    <t>Tach. Foot Revitalizer 4 oz. - revitalizuje chodidla (118ml)</t>
  </si>
  <si>
    <t>Tach. Star Dust 40oz. - tach. přísada do barev na zdi (1,13kg)</t>
  </si>
  <si>
    <t>Tach. Star Dust 8oz. - tach. přísada do barev na zdi (226g)</t>
  </si>
  <si>
    <t>Tach. Gel Tach-O-Vera Aloe 1oz - tach. gel z aloe vera (29,5ml)</t>
  </si>
  <si>
    <t>Tach. Ultra-Pure Vit. A Cream 1 oz - ultra čistý krém s vitamínem A (29,5ml)</t>
  </si>
  <si>
    <t>Tach. Vitalizer-II Belt - pás Vitalizer-II</t>
  </si>
  <si>
    <t>Tach. Belt Extender - prodloužení pro pásy Vitalizer-II a Flex-Cell 100</t>
  </si>
  <si>
    <t>Tach. luxusní nátepníky (černé)</t>
  </si>
  <si>
    <t>Tach. luxusní nátepníky (šedé)</t>
  </si>
  <si>
    <t>Tach. luxusní nátepníky (tm. modré)</t>
  </si>
  <si>
    <t>Tach. luxusní nátepníky (fialové)</t>
  </si>
  <si>
    <t>Tach. luxusní nátepníky (bílé)</t>
  </si>
  <si>
    <t>Tach. luxusní nátepníky dlouhé (tm. modré)</t>
  </si>
  <si>
    <t>Tach. luxusní nátepníky dlouhé (bílé)</t>
  </si>
  <si>
    <t>Tach. nátepníky (červené)</t>
  </si>
  <si>
    <t>Tach. [stř.*] přívěsek - slza v obrubě (saf. modrý)</t>
  </si>
  <si>
    <t>Tach. [stř.*] přívěsek - slza (zelený)</t>
  </si>
  <si>
    <t>Tach. [stř.*] přívěsek - slza (opálový)</t>
  </si>
  <si>
    <t>Tach. [stř.*] přívěsek - slza (růžový)</t>
  </si>
  <si>
    <t>Tach. [stř.*] přívěsek - slza (červený)</t>
  </si>
  <si>
    <t>Tach. [stř.*] přívěsek - slza (saf. modrý)</t>
  </si>
  <si>
    <t>Tach. [stř.*] náušnice 5mm (čiré)</t>
  </si>
  <si>
    <t>Tach. [stř.*] náušnice 5mm (smar. zelené)</t>
  </si>
  <si>
    <t>Tach. [stř.*] náušnice 5mm (růžové)</t>
  </si>
  <si>
    <t>Tach. [stř.*] náušnice 5mm (rub. červené)</t>
  </si>
  <si>
    <t>Tach. [stř.*] náušnice 8 mm (amet. fialové)</t>
  </si>
  <si>
    <t>Tach. [stř.*] náušnice 8 mm (barva tyrkysu)</t>
  </si>
  <si>
    <t>Tach. [stř.*] náušnice 8 mm (smar. zelené)</t>
  </si>
  <si>
    <t>Tach. [stř.*] náušnice 8 mm (zelené)</t>
  </si>
  <si>
    <t>Tach. [stř.*] náušnice 8 mm (červené)</t>
  </si>
  <si>
    <t>Tach. [stř.*] náušnice 8 mm (saf. modré)</t>
  </si>
  <si>
    <t>Tach. [stř.*] náušnice jemné 8 mm (amet. fialové)</t>
  </si>
  <si>
    <t>Tach. [stř.*] náušnice jemné 8 mm (barva tyrkysu)</t>
  </si>
  <si>
    <t>Tach. [stř.*] náušnice jemné 8 mm (smar. zelené)</t>
  </si>
  <si>
    <t>Tach. [stř.*] náušnice jemné 8 mm (zelené)</t>
  </si>
  <si>
    <t>Tach. [stř.*] náušnice jemné 8 mm (červené)</t>
  </si>
  <si>
    <t>Tach. [stř.*] náušnice jemné 8 mm (růžové)</t>
  </si>
  <si>
    <t>Tach. [stř.*] náušnice jemné 8 mm (saf. modré)</t>
  </si>
  <si>
    <t>Tach. [stř.*] kulatý velký přívěsek L (se zirkonem) (čirý)</t>
  </si>
  <si>
    <t>Tach. [stř.*] kulatý velký přívěsek L (se zirkonem) (barva tyrkysu)</t>
  </si>
  <si>
    <t>Tach. [stř.*] kulatý velký přívěsek L (se zirkonem) (amet. tm. fialový)</t>
  </si>
  <si>
    <t>Tach. [stř.*] kulatý velký přívěsek L (se zirkonem) (tm. oranžový)</t>
  </si>
  <si>
    <t>Tach. [stř.*] kulatý velký přívěsek L (se zirkonem) (zelený)</t>
  </si>
  <si>
    <t>Tach. [stř.*] kulatý velký přívěsek L (se zirkonem) (amet. sv. fialový)</t>
  </si>
  <si>
    <t>Tach. [stř.*] kulatý velký přívěsek L (se zirkonem) (sv. oranžový)</t>
  </si>
  <si>
    <t>Tach. [stř.*] kulatý velký přívěsek L (se zirkonem) (růžový)</t>
  </si>
  <si>
    <t>Tach. [stř.*] kulatý velký přívěsek L (se zirkonem) (žlutý)</t>
  </si>
  <si>
    <t>Tach. [stř.*] kulatý střední přívěsek MI (se zirkonem) (amet. tm. fialový)</t>
  </si>
  <si>
    <t>Tach. [stř.*] kulatý střední přívěsek MI (se zirkonem) (tm. oranžový)</t>
  </si>
  <si>
    <t>Tach. [stř.*] kulatý střední přívěsek MI (se zirkonem) (sv. oranžový)</t>
  </si>
  <si>
    <t>Tach. [stř.*] kulatý střední přívěsek MI (se zirkonem) (žlutý)</t>
  </si>
  <si>
    <t>Tach. [stř.*] kulatý střední přívěsek M (se zirkonem) (barva tyrkysu)</t>
  </si>
  <si>
    <t>Tach. [stř.*] kulatý střední přívěsek M (se zirkonem) (čirý)</t>
  </si>
  <si>
    <t>Tach. [stř.*] kulatý střední přívěsek M (se zirkonem) (amet. tm. fialový)</t>
  </si>
  <si>
    <t>Tach. [stř.*] kulatý mini přívěsek (se zirkonem) (barva tyrkysu)</t>
  </si>
  <si>
    <t>Tach. [stř.*] kulatý mini přívěsek (se zirkonem) (čirý)</t>
  </si>
  <si>
    <t>Tach. [stř.*] kulatý mini přívěsek (se zirkonem) (amet. tm. fialový)</t>
  </si>
  <si>
    <t>Tach. [stř.*] kulatý mini přívěsek (se zirkonem) (smar. zelený)</t>
  </si>
  <si>
    <t>Tach. [stř.*] kulatý mini přívěsek (se zirkonem) (amet. sv. fialový)</t>
  </si>
  <si>
    <t>Tach. [stř.*] kulatý mini přívěsek (se zirkonem) (žlutý)</t>
  </si>
  <si>
    <t>Tach. [stř.*] kulatý střední přívěsek M (se zirkonem) (sv. fialový)</t>
  </si>
  <si>
    <t>Tach. [stř.*] kulatý střední přívěsek M (se zirkonem) (sv. oranžový)</t>
  </si>
  <si>
    <t>Tach. [stř.*] kulatý střední přívěsek M (se zirkonem) (žlutý)</t>
  </si>
  <si>
    <t>Tach. [stř.*] kulatý maličký přívěsek P (se zirkonem) (barva tyrkysu)</t>
  </si>
  <si>
    <t>Tach. [stř.*] kulatý maličký přívěsek P (se zirkonem) (čirý)</t>
  </si>
  <si>
    <t>Tach. [stř.*] kulatý maličký přívěsek P (se zirkonem) (amet. tm. fialový)</t>
  </si>
  <si>
    <t>Tach. [stř.*] kulatý maličký přívěsek P (se zirkonem) (amet. sv. fialový)</t>
  </si>
  <si>
    <t>Tach. [stř.*] kulatý maličký přívěsek P (se zirkonem) (tm. oranžový)</t>
  </si>
  <si>
    <t>Tach. [stř.*] kulatý maličký přívěsek P (se zirkonem) (žlutý)</t>
  </si>
  <si>
    <t>Tach. [stř.*] kulatý malý přívěsek S (se zirkonem) (barva tyrkysu)</t>
  </si>
  <si>
    <t>Tach. [stř.*] kulatý malý přívěsek S (se zirkonem) (čirý)</t>
  </si>
  <si>
    <t>Tach. [stř.*] kulatý malý přívěsek S (se zirkonem) (amet. tm. fialový)</t>
  </si>
  <si>
    <t>Poznámka</t>
  </si>
  <si>
    <t>Tach. [stř.*] kulatý malý přívěsek S (se zirkonem) (tm. oranžový)</t>
  </si>
  <si>
    <t>Tach. [stř.*] kulatý malý přívěsek S (se zirkonem) (sv. oranžový)</t>
  </si>
  <si>
    <t>Tach. [stř.*] kulatý malý přívěsek S (se zirkonem) (žlutý)</t>
  </si>
  <si>
    <t>Řetízek [stř.*] k přívěsku 18-Inch (60 cm)</t>
  </si>
  <si>
    <t>Řetízek [stř.*] k přívěsku 20-Inch (50 cm)</t>
  </si>
  <si>
    <t>Řetízek [stř.*] k přívěsku 18-Inch (45 cm)</t>
  </si>
  <si>
    <t>Tach. [zl.*] náušnice 5mm s čirým zirkonem</t>
  </si>
  <si>
    <t>Tach. [zl.*] náušnice 8mm (amet. fialové)</t>
  </si>
  <si>
    <t>Tach. [zl.*] náušnice 8mm (barva tyrkysu)</t>
  </si>
  <si>
    <t>Tach. [zl.*] náušnice 8mm (smar. zelené)</t>
  </si>
  <si>
    <t>Tach. [zl.*] náušnice 8mm (zelené)</t>
  </si>
  <si>
    <t>Tach. [zl.*] náušnice 8mm (červené)</t>
  </si>
  <si>
    <t>Tach. [zl.*] náušnice 8mm (saf. modré)</t>
  </si>
  <si>
    <t>Tachyonizovaný sedák Life-Pad</t>
  </si>
  <si>
    <t>Tach. Mini Panther Juice -30 Pak (30 vzorků)</t>
  </si>
  <si>
    <t>Tach. Retinyl Gel, 1 oz. (29,5 ml) omlazující obličejový gel</t>
  </si>
  <si>
    <t>Vložky do bot Vertical Happy Souls</t>
  </si>
  <si>
    <t>Pomůcky pro prodejce</t>
  </si>
  <si>
    <t>Dvojice tach. přívěsků pro přátele - hory 1.5</t>
  </si>
  <si>
    <t>Dvojice tach. přívěsků pro přátele - hory 2</t>
  </si>
  <si>
    <t>Knihy (angl.)</t>
  </si>
  <si>
    <t>Tach. luxusní maska na oči + zátky do uší</t>
  </si>
  <si>
    <t>Tach. meditační přehoz z hedvábí</t>
  </si>
  <si>
    <t>Tach. Snuggy (bavlněná hadice s korálky - proti stresu)</t>
  </si>
  <si>
    <t>Tach. Sleep Pad - podložka na spaní</t>
  </si>
  <si>
    <t>Tach. Baby Sleep Pad - dětská podložka na spaní</t>
  </si>
  <si>
    <t>Tach. buňka 13mm (amet. fialová)</t>
  </si>
  <si>
    <t>Tach. buňka 13mm (barva tyrkysu)</t>
  </si>
  <si>
    <t>JP-DG24AM</t>
  </si>
  <si>
    <t>Deluxe 14kt Gold 24mm Pend. Amethyst</t>
  </si>
  <si>
    <t>JP-DG24AQ</t>
  </si>
  <si>
    <t>Deluxe 14kt Gold 24mm Pend. Aqua</t>
  </si>
  <si>
    <t>JP-DG24EM</t>
  </si>
  <si>
    <t>Deluxe 14kt Gold 24mm Pend. Emerald</t>
  </si>
  <si>
    <t>JP-DG24SA</t>
  </si>
  <si>
    <t>Deluxe 14kt Gold 24mm Pend. Sapphire</t>
  </si>
  <si>
    <t>JP-DS24AM</t>
  </si>
  <si>
    <t>Framed Sterling Silver 24mm Pend. AME</t>
  </si>
  <si>
    <t>JP-DS24AQ</t>
  </si>
  <si>
    <t>Framed Sterling Silver 24mm Pend. AQUA</t>
  </si>
  <si>
    <t>JP-DS24EM</t>
  </si>
  <si>
    <t>Framed Sterling Silver 24mm Pend. EME</t>
  </si>
  <si>
    <t>JP-DS24SA</t>
  </si>
  <si>
    <t>Framed Sterling Silver 24mm Pend. SAP</t>
  </si>
  <si>
    <t>SC-55B</t>
  </si>
  <si>
    <t>SC-55BL</t>
  </si>
  <si>
    <t>SC-55C</t>
  </si>
  <si>
    <t>SC-55P</t>
  </si>
  <si>
    <t>SC-55PB</t>
  </si>
  <si>
    <t>SC-55S</t>
  </si>
  <si>
    <t>SC-75R</t>
  </si>
  <si>
    <t>SS-55AQ</t>
  </si>
  <si>
    <t>SS-55PB</t>
  </si>
  <si>
    <t>SS-55PL</t>
  </si>
  <si>
    <t>TMW-C</t>
  </si>
  <si>
    <t>TMW-P</t>
  </si>
  <si>
    <t>TMW-PB</t>
  </si>
  <si>
    <t>TMW-S</t>
  </si>
  <si>
    <t>UF-1</t>
  </si>
  <si>
    <t>UF-2</t>
  </si>
  <si>
    <t>Šperky - přívěsky [stř.*]</t>
  </si>
  <si>
    <t>Tach. 28mm Micro Disk</t>
  </si>
  <si>
    <t>Tach. 28mm Micro Disk (3 ks)</t>
  </si>
  <si>
    <t>Tach. Water Charger - tach. nabíječka vody</t>
  </si>
  <si>
    <t>Tach. buňka 13 mm (zlatá barva)</t>
  </si>
  <si>
    <t>Tach. buňka 13 mm (růžová)</t>
  </si>
  <si>
    <t>Tach. buňka 13 mm (žlutá)</t>
  </si>
  <si>
    <t>Tach. buňka 15 mm (zlatá barva)</t>
  </si>
  <si>
    <t>Tach. buňka 15 mm (růžová)</t>
  </si>
  <si>
    <t>Tach. buňka 24 mm (zlatá barva)</t>
  </si>
  <si>
    <t>Tach. čelenka na suchý zip fialová</t>
  </si>
  <si>
    <t>Tach. čelenka na suchý zip červená</t>
  </si>
  <si>
    <t>Tach. luxusní strečová čelenka fialová</t>
  </si>
  <si>
    <t>Tach. luxusní strečová čelenka výrazná růžová</t>
  </si>
  <si>
    <t>Tach. vložky do bot Vertical Happy Souls pro ženy, vel. US:10, EU:41</t>
  </si>
  <si>
    <t>Tach. vložky do bot Vertical Happy Souls pro ženy, vel. US:6, EU:37</t>
  </si>
  <si>
    <t>Tach. vložky do bot Vertical Happy Souls pro ženy, vel. US:7, EU:38</t>
  </si>
  <si>
    <t>Tach. vložky do bot Vertical Happy Souls pro ženy, vel. US:8, EU:39</t>
  </si>
  <si>
    <t>Tach. vložky do bot Vertical Happy Souls pro ženy, vel. US:9, EU:40</t>
  </si>
  <si>
    <t>Tach. vložky do bot Vertical Happy Souls pro muže, vel. US:10, EU:43</t>
  </si>
  <si>
    <t>Tach. vložky do bot Vertical Happy Souls pro muže, vel. US:11, EU:44</t>
  </si>
  <si>
    <t>Tachyonizovaný Ultra Tělový olej 480ml</t>
  </si>
  <si>
    <t>Tachyonizovaný Ultra Tělový olej 120ml</t>
  </si>
  <si>
    <t>Tachyonizovaný Ultra Tělový olej 240ml</t>
  </si>
  <si>
    <t>UO-16</t>
  </si>
  <si>
    <t>UO-4</t>
  </si>
  <si>
    <t>UO-8</t>
  </si>
  <si>
    <t>UV-16</t>
  </si>
  <si>
    <t>UV-4</t>
  </si>
  <si>
    <t>UV-8</t>
  </si>
  <si>
    <t>Tachyonizovaný Ultra Masážní olej Pro-V 480ml</t>
  </si>
  <si>
    <t>Tachyonizovaný Ultra Masážní olej Pro-V 120ml</t>
  </si>
  <si>
    <t>Tachyonizovaný Ultra Masážní olej Pro-V 240ml</t>
  </si>
  <si>
    <t>SUN-M</t>
  </si>
  <si>
    <t>Sluneční skvrny (Sun Spots) 4ks</t>
  </si>
  <si>
    <t>OS-HKID</t>
  </si>
  <si>
    <t>OS-H37</t>
  </si>
  <si>
    <t>OS-H40</t>
  </si>
  <si>
    <t>Tach. Throat Spray - krční stimulátor **</t>
  </si>
  <si>
    <t>Tach. Ultra C - Vitamín C, 30 tablet**</t>
  </si>
  <si>
    <t>Tach. Kidney Remedy - zlepšuje funkci ledvin **</t>
  </si>
  <si>
    <t>OS-H45</t>
  </si>
  <si>
    <t>JE-GF8-AME</t>
  </si>
  <si>
    <t>Tach. [zl.*] rám. náušnice 8mm (amet. fialové)</t>
  </si>
  <si>
    <t>JP-GTFAM</t>
  </si>
  <si>
    <t>Tach. [zl.*] přívěsek - slza (silnější obruba) (barva ametystu)</t>
  </si>
  <si>
    <t>Tach. [zl.*] přívěsek - slza (silnější obruba) (barva opálu)</t>
  </si>
  <si>
    <t>JP-GTFRED</t>
  </si>
  <si>
    <t>Tach. [zl.*] přívěsek - slza (silnější obruba) (červená)</t>
  </si>
  <si>
    <t>JP-SF15AM</t>
  </si>
  <si>
    <t>Tach. [stř.*] přívěsek 15mm (ametyst fialový)</t>
  </si>
  <si>
    <t>JP-SRZ-S-SAP</t>
  </si>
  <si>
    <t>Tach. [stř.*] kulatý malý přívěsek S (se zirkonem) (safírový)</t>
  </si>
  <si>
    <t>Tachyonizovaný hedvábný šátek - Burgundský</t>
  </si>
  <si>
    <t>Tachyonizovaný hedvábný šátek - béžový</t>
  </si>
  <si>
    <t>Tachyonizovaný hedvábný šátek - fialový</t>
  </si>
  <si>
    <t>Tachyonizovaný hedvábný šátek - modrý</t>
  </si>
  <si>
    <t>Tachyonizovaný hedvábný šátek - safírový</t>
  </si>
  <si>
    <t>Tachyonizovaný hedvábný šátek - červený</t>
  </si>
  <si>
    <t>Tachyonizovaný hedvábný šátek - černý</t>
  </si>
  <si>
    <t>TEAS-K</t>
  </si>
  <si>
    <t>Sort T.E.A.S. Kit vzorky</t>
  </si>
  <si>
    <t>Sort T.E.A.S. Kit vzorky + W/Mini</t>
  </si>
  <si>
    <t>TEAS-KD</t>
  </si>
  <si>
    <t>Tachyonizovaný osobní kokon</t>
  </si>
  <si>
    <t>Tachyonizovaný meditační přehoz - béžový</t>
  </si>
  <si>
    <t>Tachyonizovaný meditační přehoz - fialový</t>
  </si>
  <si>
    <t>Tachyonizovaný meditační přehoz - safírový</t>
  </si>
  <si>
    <t>Tachyonizovaný meditační přehoz - modrý</t>
  </si>
  <si>
    <t>TT-WBB</t>
  </si>
  <si>
    <t>Tachyonizovaná Whoozit látková kniha</t>
  </si>
  <si>
    <t>TT-WPC</t>
  </si>
  <si>
    <t>Tachyonizovaný Whoozit připinací dudlík</t>
  </si>
  <si>
    <t>Hračky</t>
  </si>
  <si>
    <t>Tach. hedvábný šál (tyrkysový)</t>
  </si>
  <si>
    <t>Tach. hedvábný šál (černý)</t>
  </si>
  <si>
    <t>Tach. hedvábný šál (levand. sv. fialový)</t>
  </si>
  <si>
    <t>Tach. hedvábný šál (švestková barva)</t>
  </si>
  <si>
    <t>Tach. hedvábný šál (bílý)</t>
  </si>
  <si>
    <t>Tach. hedvábný šál (modrý)</t>
  </si>
  <si>
    <t>Tach. luxusní hedvábný šál (černý)</t>
  </si>
  <si>
    <t>Tach. luxusní hedvábný šál (tyrkysový)</t>
  </si>
  <si>
    <t>Tach. luxusní hedvábný šál (modř Pacifiku)</t>
  </si>
  <si>
    <t>Tach. luxusní hedvábný šál (modrozelený)</t>
  </si>
  <si>
    <t>Tach. luxusní hedvábný šál (bílý)</t>
  </si>
  <si>
    <t>Tach. luxusní hedvábný šál (safírově modrý)</t>
  </si>
  <si>
    <t>Tach. luxusní hedvábný šál (švestkově modrý)</t>
  </si>
  <si>
    <t>Tachyonizovaný přívěsek zlatý Hranol 22KT</t>
  </si>
  <si>
    <t>JP-S1.25</t>
  </si>
  <si>
    <t>Tach. přívěsek "skarabeus" (brouk) 1,25 in (30 mm)</t>
  </si>
  <si>
    <t>EM-M</t>
  </si>
  <si>
    <t>Tach. meditační maska Ultra</t>
  </si>
  <si>
    <t>SD-1U</t>
  </si>
  <si>
    <t>Tach. Ultra Silica Disk 4-inch (10 cm)</t>
  </si>
  <si>
    <t>Tach. Ultra Silica Disk 4-inch (10 cm) (3 ks)</t>
  </si>
  <si>
    <t>Tach. Ultra Silica Disk 6-inch (15 cm)</t>
  </si>
  <si>
    <t>SD-3U</t>
  </si>
  <si>
    <t>SD-6U</t>
  </si>
  <si>
    <t>SD-63U</t>
  </si>
  <si>
    <t>Tach. Ultra Silica Disk 6-inch (15 cm) (3 ks)</t>
  </si>
  <si>
    <t>Tach. Silica Disk 4-inch (10 cm)</t>
  </si>
  <si>
    <t>Tach. Silica Disk 4-inch (10 cm) (3 ks)</t>
  </si>
  <si>
    <t>Tach. Silica Disk 6-inch (15 cm)</t>
  </si>
  <si>
    <t>Tach. Silica Disk 6-inch (15 cm) (3 ks)</t>
  </si>
  <si>
    <t>HK-XXXL</t>
  </si>
  <si>
    <t>Tach. kolenní bandáž extra velmi velká  (35,6-43,2cm)</t>
  </si>
  <si>
    <t>LB-1</t>
  </si>
  <si>
    <t>Rovnováha těla</t>
  </si>
  <si>
    <t>Tach. Liberty pás Ultra</t>
  </si>
  <si>
    <t>T35-MDU</t>
  </si>
  <si>
    <t>T35-MD3U</t>
  </si>
  <si>
    <t>Tach. Mikro Disk 35mm (3 ks)</t>
  </si>
  <si>
    <t>Tach. Ultra Mikro Disk 35mm</t>
  </si>
  <si>
    <t>Tach. Ultra Mikro Disk 35mm (3 ks)</t>
  </si>
  <si>
    <t>Tach. Mikro Disk 35mm</t>
  </si>
  <si>
    <t>Mikro disky</t>
  </si>
  <si>
    <t>TC-U</t>
  </si>
  <si>
    <t>Tachyonizovaný osobní kokon Ultra</t>
  </si>
  <si>
    <t>JP-SK02AM</t>
  </si>
  <si>
    <t>Přívěsek Záře stříbrný s opálem a fialovým zirkonem</t>
  </si>
  <si>
    <t>JP-SK02TA</t>
  </si>
  <si>
    <t>Přívěsek Záře stříbrný s opálem a modrým zirkonem</t>
  </si>
  <si>
    <t>JP-SK04AM</t>
  </si>
  <si>
    <t>Přívěsek Elegance stříbrný s opálem a fialovým zirkonem</t>
  </si>
  <si>
    <t>JP-SK05OP</t>
  </si>
  <si>
    <t>Přívěsek Jednoduchost stříbrný s opálem a zirkonem</t>
  </si>
  <si>
    <t>JP-SK06TA</t>
  </si>
  <si>
    <t>Přívěsek Brilantní lesk stříbrný s opálem a modrým zirkonem</t>
  </si>
  <si>
    <t>JP-SK07OP</t>
  </si>
  <si>
    <t>Přívěsek Upřímnost s opálem a zirkonem</t>
  </si>
  <si>
    <t>JP-SK08AM</t>
  </si>
  <si>
    <t>Waterdrop Ame. Pend. W/Opal, CZ Accent Silver</t>
  </si>
  <si>
    <t>JP-SK08AQ</t>
  </si>
  <si>
    <t>Přívěsek Kapka stříbrný s opálem a modrým zirkonem</t>
  </si>
  <si>
    <t>Přívěsek Rozcestí stříbrný s fialovým, žlutým a růžovým zirkonem</t>
  </si>
  <si>
    <t>JP-SK09AM</t>
  </si>
  <si>
    <t>JP-SK11TA</t>
  </si>
  <si>
    <t>Eye of Beauty Tanzanite. Pend. W/Opal,CZ in Silver</t>
  </si>
  <si>
    <t>Divine Opal Pendant in Silver</t>
  </si>
  <si>
    <t>JP-SK12OP</t>
  </si>
  <si>
    <t>JP-SK13AM</t>
  </si>
  <si>
    <t>Symphony Amethyst Pend. W/Opal, CZ Accent Silver</t>
  </si>
  <si>
    <t>JP-SK10AM</t>
  </si>
  <si>
    <t>Přívěsek Klasická slza s opálem a fialovým zirkonem</t>
  </si>
  <si>
    <t>PP-R</t>
  </si>
  <si>
    <t>Kapsička Pet Pouch - červená</t>
  </si>
  <si>
    <t>PP-P</t>
  </si>
  <si>
    <t>Kapsička Pet Pouch - fialová</t>
  </si>
  <si>
    <t>JP-SK15AM</t>
  </si>
  <si>
    <t>Přívěsek Smělá Krása s ametystem</t>
  </si>
  <si>
    <t>Přívěsek Smělá Krása se světle-modrým krystalem</t>
  </si>
  <si>
    <t>JP-SK15AQ</t>
  </si>
  <si>
    <t>Přívěsek Smělá Krása s čirým krystalem</t>
  </si>
  <si>
    <t>JP-SK15C</t>
  </si>
  <si>
    <t>JE-S5A</t>
  </si>
  <si>
    <t>JE-S5Y</t>
  </si>
  <si>
    <t>Tach. [stř.*] náušnice 5mm (žluté)</t>
  </si>
  <si>
    <t>JE-S5OR</t>
  </si>
  <si>
    <t>Tach. [stř.*] náušnice 5mm (oranžové)</t>
  </si>
  <si>
    <t>JE-S5TH</t>
  </si>
  <si>
    <t>Tach. [stř.*] náušnice 5mm (Tanzanit)</t>
  </si>
  <si>
    <t>JE-S5GH</t>
  </si>
  <si>
    <t>Tach. [stř.*] náušnice 5mm (zelené)</t>
  </si>
  <si>
    <t>Tach. [stř.*] náušnice 5mm (fialové)</t>
  </si>
  <si>
    <t>TR-2</t>
  </si>
  <si>
    <t xml:space="preserve">Tachyonizované sportovní bandáže šířka 5cm </t>
  </si>
  <si>
    <t>TR-4</t>
  </si>
  <si>
    <t>TR-8</t>
  </si>
  <si>
    <t xml:space="preserve">Tachyonizované sportovní bandáže šířka 9cm </t>
  </si>
  <si>
    <t xml:space="preserve">Tachyonizované sportovní bandáže šířka 20cm </t>
  </si>
  <si>
    <t>SS-55C</t>
  </si>
  <si>
    <t>Tach. luxusní hedvábný šál (barva karamelu)</t>
  </si>
  <si>
    <t>SS-55A</t>
  </si>
  <si>
    <t>Tach. luxusní hedvábný šál (světle modrý)</t>
  </si>
  <si>
    <t>UG-128</t>
  </si>
  <si>
    <t>Tachyonizovaný Masážní Gel Ultra-Balance 1 gal. (3,78l)</t>
  </si>
  <si>
    <t>UG-16</t>
  </si>
  <si>
    <t>Tachyonizovaný Masážní Gel Ultra-Balance 16 oz. (472 ml)</t>
  </si>
  <si>
    <t>UG-4</t>
  </si>
  <si>
    <t>Tachyonizovaný Masážní Gel Ultra-Balance 4 oz. (118 ml)</t>
  </si>
  <si>
    <t>UG-8</t>
  </si>
  <si>
    <t>Tachyonizovaný Masážní Gel Ultra-Balance 8 oz. (236 ml)</t>
  </si>
  <si>
    <t>UB-4</t>
  </si>
  <si>
    <t>Tachyonizovaný masážní olej 120ml</t>
  </si>
  <si>
    <t>UB-8</t>
  </si>
  <si>
    <t>UB-16</t>
  </si>
  <si>
    <t>UB-128</t>
  </si>
  <si>
    <t>Tachyonizovaný masážní olej 1 gal. (3,78l)</t>
  </si>
  <si>
    <t>Tachyonizovaný masážní olej 240ml</t>
  </si>
  <si>
    <t>Tachyonizovaný masážní olej 480ml</t>
  </si>
  <si>
    <t>Krém Ultra-Pure s vitamínem E (30ml)</t>
  </si>
  <si>
    <t>Tachyonizovaný Ultra-Freeze 2oz (60ml)</t>
  </si>
  <si>
    <t>Tachyonizovaný Ultra Freeze Mini 30-Pak</t>
  </si>
  <si>
    <t>Tachyonizovaný Ultra-Freeze 1oz (30ml)</t>
  </si>
  <si>
    <t>Masážní krém Ultra-Balance 16oz (480ml)</t>
  </si>
  <si>
    <t>Masážní krém Ultra-Balance 4oz (120ml)</t>
  </si>
  <si>
    <t>Masážní krém Ultra-Balance 8oz (240ml)</t>
  </si>
  <si>
    <t>ALO-1</t>
  </si>
  <si>
    <t>Krém T-Vera, kůra pro suchou pokožku 60 ml</t>
  </si>
  <si>
    <t>AAAAAF/I+4Y=</t>
  </si>
  <si>
    <t>Maloobch. cena s DPH 21% (USD)</t>
  </si>
  <si>
    <t>Maloobch. cena s DPH 21% (Kč)</t>
  </si>
  <si>
    <t>Cena se slevou 30%, DPH 21% (Kč)</t>
  </si>
  <si>
    <t>Cena se slevou 30%, s DPH 21% (USD)</t>
  </si>
  <si>
    <t>PJ-3</t>
  </si>
  <si>
    <t>Tach. Panther Juice 3 oz. (90ml) ***</t>
  </si>
  <si>
    <t>UF-3</t>
  </si>
  <si>
    <t>Tachyonizovaný Ultra-Freeze 3oz (90ml)</t>
  </si>
  <si>
    <t>TS-8</t>
  </si>
  <si>
    <t>Tach. 'voda' Tach-o-splash 8 oz. (240 ml)</t>
  </si>
  <si>
    <t>Tach. 'voda' Tach-o-splash 4 oz. (120 ml)</t>
  </si>
  <si>
    <t>Tach. 'voda' Tach-o-splash 16 oz. (480 ml)</t>
  </si>
  <si>
    <t>EM-P</t>
  </si>
  <si>
    <t>SS-45SG</t>
  </si>
  <si>
    <t>SS-45S</t>
  </si>
  <si>
    <t>Tach. hedvábný šál (safírová barva)</t>
  </si>
  <si>
    <t>Tach. hedvábný šál (mořská zelená barva)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</si>
</sst>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 CE"/>
      <family val="0"/>
    </font>
    <font>
      <sz val="12"/>
      <name val="Tahom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2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right"/>
    </xf>
    <xf numFmtId="1" fontId="7" fillId="35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1" fontId="7" fillId="35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0"/>
  <sheetViews>
    <sheetView tabSelected="1" workbookViewId="0" topLeftCell="A1">
      <selection activeCell="I2" sqref="I2"/>
    </sheetView>
  </sheetViews>
  <sheetFormatPr defaultColWidth="9.125" defaultRowHeight="12.75"/>
  <cols>
    <col min="1" max="1" width="12.625" style="1" customWidth="1"/>
    <col min="2" max="2" width="17.875" style="1" hidden="1" customWidth="1"/>
    <col min="3" max="3" width="73.875" style="1" customWidth="1"/>
    <col min="4" max="5" width="12.75390625" style="1" hidden="1" customWidth="1"/>
    <col min="6" max="6" width="11.125" style="1" hidden="1" customWidth="1"/>
    <col min="7" max="7" width="10.25390625" style="1" customWidth="1"/>
    <col min="8" max="8" width="12.625" style="1" hidden="1" customWidth="1"/>
    <col min="9" max="9" width="10.625" style="1" customWidth="1"/>
    <col min="10" max="16384" width="9.125" style="1" customWidth="1"/>
  </cols>
  <sheetData>
    <row r="1" spans="1:9" ht="13.5">
      <c r="A1" s="3"/>
      <c r="B1" s="4"/>
      <c r="C1" s="5"/>
      <c r="D1" s="27" t="s">
        <v>1029</v>
      </c>
      <c r="E1" s="27" t="s">
        <v>71</v>
      </c>
      <c r="F1" s="27" t="s">
        <v>1026</v>
      </c>
      <c r="G1" s="27" t="s">
        <v>1027</v>
      </c>
      <c r="H1" s="27" t="s">
        <v>1028</v>
      </c>
      <c r="I1" s="4">
        <v>25</v>
      </c>
    </row>
    <row r="2" spans="1:9" ht="32.25" customHeight="1" thickBot="1">
      <c r="A2" s="20" t="s">
        <v>117</v>
      </c>
      <c r="B2" s="20" t="s">
        <v>118</v>
      </c>
      <c r="C2" s="20" t="s">
        <v>119</v>
      </c>
      <c r="D2" s="28"/>
      <c r="E2" s="28"/>
      <c r="F2" s="28"/>
      <c r="G2" s="28"/>
      <c r="H2" s="28"/>
      <c r="I2" s="20" t="s">
        <v>765</v>
      </c>
    </row>
    <row r="3" spans="1:9" s="8" customFormat="1" ht="15.75" customHeight="1" thickTop="1">
      <c r="A3" s="21" t="s">
        <v>515</v>
      </c>
      <c r="B3" s="22" t="s">
        <v>7</v>
      </c>
      <c r="C3" s="22" t="s">
        <v>168</v>
      </c>
      <c r="D3" s="22">
        <v>31.18</v>
      </c>
      <c r="E3" s="23">
        <f>D3/1.21</f>
        <v>25.768595041322314</v>
      </c>
      <c r="F3" s="23">
        <f>(E3/0.7)*1.21</f>
        <v>44.54285714285714</v>
      </c>
      <c r="G3" s="24">
        <f>ROUND((F3/1.21)*1.21*$I$1,-1)</f>
        <v>1110</v>
      </c>
      <c r="H3" s="25">
        <f>(F3/1.21)*1.21*$I$1*0.7</f>
        <v>779.4999999999999</v>
      </c>
      <c r="I3" s="26"/>
    </row>
    <row r="4" spans="1:9" s="8" customFormat="1" ht="15.75" customHeight="1">
      <c r="A4" s="6" t="s">
        <v>516</v>
      </c>
      <c r="B4" s="9" t="s">
        <v>7</v>
      </c>
      <c r="C4" s="9" t="s">
        <v>169</v>
      </c>
      <c r="D4" s="9">
        <v>31.18</v>
      </c>
      <c r="E4" s="15">
        <f aca="true" t="shared" si="0" ref="E4:E42">D4/1.21</f>
        <v>25.768595041322314</v>
      </c>
      <c r="F4" s="15">
        <f aca="true" t="shared" si="1" ref="F4:F60">(E4/0.7)*1.21</f>
        <v>44.54285714285714</v>
      </c>
      <c r="G4" s="16">
        <f aca="true" t="shared" si="2" ref="G4:G60">ROUND((F4/1.21)*1.21*$I$1,-1)</f>
        <v>1110</v>
      </c>
      <c r="H4" s="17">
        <f aca="true" t="shared" si="3" ref="H4:H60">(F4/1.21)*1.21*$I$1*0.7</f>
        <v>779.4999999999999</v>
      </c>
      <c r="I4" s="7"/>
    </row>
    <row r="5" spans="1:9" s="8" customFormat="1" ht="15.75" customHeight="1">
      <c r="A5" s="6" t="s">
        <v>517</v>
      </c>
      <c r="B5" s="9" t="s">
        <v>7</v>
      </c>
      <c r="C5" s="9" t="s">
        <v>170</v>
      </c>
      <c r="D5" s="9">
        <v>31.18</v>
      </c>
      <c r="E5" s="15">
        <f t="shared" si="0"/>
        <v>25.768595041322314</v>
      </c>
      <c r="F5" s="15">
        <f t="shared" si="1"/>
        <v>44.54285714285714</v>
      </c>
      <c r="G5" s="16">
        <f t="shared" si="2"/>
        <v>1110</v>
      </c>
      <c r="H5" s="17">
        <f t="shared" si="3"/>
        <v>779.4999999999999</v>
      </c>
      <c r="I5" s="7"/>
    </row>
    <row r="6" spans="1:9" ht="13.5" hidden="1">
      <c r="A6" s="3"/>
      <c r="B6" s="4"/>
      <c r="C6" s="5"/>
      <c r="D6" s="27" t="s">
        <v>1029</v>
      </c>
      <c r="E6" s="27" t="s">
        <v>71</v>
      </c>
      <c r="F6" s="27" t="s">
        <v>1026</v>
      </c>
      <c r="G6" s="27" t="s">
        <v>1027</v>
      </c>
      <c r="H6" s="27" t="s">
        <v>1028</v>
      </c>
      <c r="I6" s="4"/>
    </row>
    <row r="7" spans="1:9" ht="32.25" customHeight="1" hidden="1" thickBot="1">
      <c r="A7" s="20" t="s">
        <v>117</v>
      </c>
      <c r="B7" s="20" t="s">
        <v>118</v>
      </c>
      <c r="C7" s="20" t="s">
        <v>119</v>
      </c>
      <c r="D7" s="28"/>
      <c r="E7" s="28"/>
      <c r="F7" s="28"/>
      <c r="G7" s="28"/>
      <c r="H7" s="28"/>
      <c r="I7" s="20" t="s">
        <v>765</v>
      </c>
    </row>
    <row r="8" spans="1:9" s="8" customFormat="1" ht="15.75" customHeight="1">
      <c r="A8" s="6" t="s">
        <v>518</v>
      </c>
      <c r="B8" s="9" t="s">
        <v>7</v>
      </c>
      <c r="C8" s="9" t="s">
        <v>171</v>
      </c>
      <c r="D8" s="9">
        <v>31.18</v>
      </c>
      <c r="E8" s="15">
        <f t="shared" si="0"/>
        <v>25.768595041322314</v>
      </c>
      <c r="F8" s="15">
        <f t="shared" si="1"/>
        <v>44.54285714285714</v>
      </c>
      <c r="G8" s="16">
        <f t="shared" si="2"/>
        <v>1110</v>
      </c>
      <c r="H8" s="17">
        <f t="shared" si="3"/>
        <v>779.4999999999999</v>
      </c>
      <c r="I8" s="7"/>
    </row>
    <row r="9" spans="1:9" s="8" customFormat="1" ht="15.75" customHeight="1">
      <c r="A9" s="6" t="s">
        <v>519</v>
      </c>
      <c r="B9" s="9" t="s">
        <v>7</v>
      </c>
      <c r="C9" s="9" t="s">
        <v>172</v>
      </c>
      <c r="D9" s="9">
        <v>31.18</v>
      </c>
      <c r="E9" s="15">
        <f t="shared" si="0"/>
        <v>25.768595041322314</v>
      </c>
      <c r="F9" s="15">
        <f t="shared" si="1"/>
        <v>44.54285714285714</v>
      </c>
      <c r="G9" s="16">
        <f t="shared" si="2"/>
        <v>1110</v>
      </c>
      <c r="H9" s="17">
        <f t="shared" si="3"/>
        <v>779.4999999999999</v>
      </c>
      <c r="I9" s="7"/>
    </row>
    <row r="10" spans="1:9" s="8" customFormat="1" ht="15.75" customHeight="1">
      <c r="A10" s="6" t="s">
        <v>520</v>
      </c>
      <c r="B10" s="9" t="s">
        <v>7</v>
      </c>
      <c r="C10" s="9" t="s">
        <v>173</v>
      </c>
      <c r="D10" s="9">
        <v>31.18</v>
      </c>
      <c r="E10" s="15">
        <f t="shared" si="0"/>
        <v>25.768595041322314</v>
      </c>
      <c r="F10" s="15">
        <f t="shared" si="1"/>
        <v>44.54285714285714</v>
      </c>
      <c r="G10" s="16">
        <f t="shared" si="2"/>
        <v>1110</v>
      </c>
      <c r="H10" s="17">
        <f t="shared" si="3"/>
        <v>779.4999999999999</v>
      </c>
      <c r="I10" s="7"/>
    </row>
    <row r="11" spans="1:9" s="8" customFormat="1" ht="15.75" customHeight="1">
      <c r="A11" s="6" t="s">
        <v>521</v>
      </c>
      <c r="B11" s="9" t="s">
        <v>7</v>
      </c>
      <c r="C11" s="9" t="s">
        <v>174</v>
      </c>
      <c r="D11" s="9">
        <v>31.18</v>
      </c>
      <c r="E11" s="15">
        <f t="shared" si="0"/>
        <v>25.768595041322314</v>
      </c>
      <c r="F11" s="15">
        <f t="shared" si="1"/>
        <v>44.54285714285714</v>
      </c>
      <c r="G11" s="16">
        <f t="shared" si="2"/>
        <v>1110</v>
      </c>
      <c r="H11" s="17">
        <f t="shared" si="3"/>
        <v>779.4999999999999</v>
      </c>
      <c r="I11" s="7"/>
    </row>
    <row r="12" spans="1:9" s="8" customFormat="1" ht="15.75" customHeight="1">
      <c r="A12" s="6" t="s">
        <v>522</v>
      </c>
      <c r="B12" s="9" t="s">
        <v>7</v>
      </c>
      <c r="C12" s="9" t="s">
        <v>175</v>
      </c>
      <c r="D12" s="9">
        <v>31.18</v>
      </c>
      <c r="E12" s="15">
        <f t="shared" si="0"/>
        <v>25.768595041322314</v>
      </c>
      <c r="F12" s="15">
        <f t="shared" si="1"/>
        <v>44.54285714285714</v>
      </c>
      <c r="G12" s="16">
        <f t="shared" si="2"/>
        <v>1110</v>
      </c>
      <c r="H12" s="17">
        <f t="shared" si="3"/>
        <v>779.4999999999999</v>
      </c>
      <c r="I12" s="7"/>
    </row>
    <row r="13" spans="1:9" s="8" customFormat="1" ht="15.75" customHeight="1">
      <c r="A13" s="6" t="s">
        <v>523</v>
      </c>
      <c r="B13" s="9" t="s">
        <v>7</v>
      </c>
      <c r="C13" s="9" t="s">
        <v>176</v>
      </c>
      <c r="D13" s="9">
        <v>31.18</v>
      </c>
      <c r="E13" s="15">
        <f t="shared" si="0"/>
        <v>25.768595041322314</v>
      </c>
      <c r="F13" s="15">
        <f t="shared" si="1"/>
        <v>44.54285714285714</v>
      </c>
      <c r="G13" s="16">
        <f t="shared" si="2"/>
        <v>1110</v>
      </c>
      <c r="H13" s="17">
        <f t="shared" si="3"/>
        <v>779.4999999999999</v>
      </c>
      <c r="I13" s="7"/>
    </row>
    <row r="14" spans="1:9" s="8" customFormat="1" ht="15.75" customHeight="1">
      <c r="A14" s="6" t="s">
        <v>524</v>
      </c>
      <c r="B14" s="9" t="s">
        <v>7</v>
      </c>
      <c r="C14" s="9" t="s">
        <v>177</v>
      </c>
      <c r="D14" s="9">
        <v>31.18</v>
      </c>
      <c r="E14" s="15">
        <f t="shared" si="0"/>
        <v>25.768595041322314</v>
      </c>
      <c r="F14" s="15">
        <f t="shared" si="1"/>
        <v>44.54285714285714</v>
      </c>
      <c r="G14" s="16">
        <f t="shared" si="2"/>
        <v>1110</v>
      </c>
      <c r="H14" s="17">
        <f t="shared" si="3"/>
        <v>779.4999999999999</v>
      </c>
      <c r="I14" s="7"/>
    </row>
    <row r="15" spans="1:9" s="8" customFormat="1" ht="15.75" customHeight="1">
      <c r="A15" s="6" t="s">
        <v>525</v>
      </c>
      <c r="B15" s="9" t="s">
        <v>7</v>
      </c>
      <c r="C15" s="9" t="s">
        <v>178</v>
      </c>
      <c r="D15" s="9">
        <v>31.18</v>
      </c>
      <c r="E15" s="15">
        <f t="shared" si="0"/>
        <v>25.768595041322314</v>
      </c>
      <c r="F15" s="15">
        <f t="shared" si="1"/>
        <v>44.54285714285714</v>
      </c>
      <c r="G15" s="16">
        <f t="shared" si="2"/>
        <v>1110</v>
      </c>
      <c r="H15" s="17">
        <f t="shared" si="3"/>
        <v>779.4999999999999</v>
      </c>
      <c r="I15" s="7"/>
    </row>
    <row r="16" spans="1:9" s="8" customFormat="1" ht="15.75" customHeight="1">
      <c r="A16" s="6" t="s">
        <v>526</v>
      </c>
      <c r="B16" s="9" t="s">
        <v>7</v>
      </c>
      <c r="C16" s="9" t="s">
        <v>179</v>
      </c>
      <c r="D16" s="9">
        <v>31.18</v>
      </c>
      <c r="E16" s="15">
        <f t="shared" si="0"/>
        <v>25.768595041322314</v>
      </c>
      <c r="F16" s="15">
        <f t="shared" si="1"/>
        <v>44.54285714285714</v>
      </c>
      <c r="G16" s="16">
        <f t="shared" si="2"/>
        <v>1110</v>
      </c>
      <c r="H16" s="17">
        <f t="shared" si="3"/>
        <v>779.4999999999999</v>
      </c>
      <c r="I16" s="7"/>
    </row>
    <row r="17" spans="1:9" s="8" customFormat="1" ht="15.75" customHeight="1">
      <c r="A17" s="6" t="s">
        <v>527</v>
      </c>
      <c r="B17" s="9" t="s">
        <v>7</v>
      </c>
      <c r="C17" s="9" t="s">
        <v>180</v>
      </c>
      <c r="D17" s="9">
        <v>31.18</v>
      </c>
      <c r="E17" s="15">
        <f t="shared" si="0"/>
        <v>25.768595041322314</v>
      </c>
      <c r="F17" s="15">
        <f t="shared" si="1"/>
        <v>44.54285714285714</v>
      </c>
      <c r="G17" s="16">
        <f t="shared" si="2"/>
        <v>1110</v>
      </c>
      <c r="H17" s="17">
        <f t="shared" si="3"/>
        <v>779.4999999999999</v>
      </c>
      <c r="I17" s="7"/>
    </row>
    <row r="18" spans="1:9" s="8" customFormat="1" ht="15.75" customHeight="1">
      <c r="A18" s="6" t="s">
        <v>528</v>
      </c>
      <c r="B18" s="9" t="s">
        <v>7</v>
      </c>
      <c r="C18" s="9" t="s">
        <v>181</v>
      </c>
      <c r="D18" s="9">
        <v>31.18</v>
      </c>
      <c r="E18" s="15">
        <f t="shared" si="0"/>
        <v>25.768595041322314</v>
      </c>
      <c r="F18" s="15">
        <f t="shared" si="1"/>
        <v>44.54285714285714</v>
      </c>
      <c r="G18" s="16">
        <f t="shared" si="2"/>
        <v>1110</v>
      </c>
      <c r="H18" s="17">
        <f t="shared" si="3"/>
        <v>779.4999999999999</v>
      </c>
      <c r="I18" s="7"/>
    </row>
    <row r="19" spans="1:9" s="8" customFormat="1" ht="15.75" customHeight="1">
      <c r="A19" s="6" t="s">
        <v>529</v>
      </c>
      <c r="B19" s="9" t="s">
        <v>7</v>
      </c>
      <c r="C19" s="9" t="s">
        <v>182</v>
      </c>
      <c r="D19" s="9">
        <v>31.18</v>
      </c>
      <c r="E19" s="15">
        <f t="shared" si="0"/>
        <v>25.768595041322314</v>
      </c>
      <c r="F19" s="15">
        <f t="shared" si="1"/>
        <v>44.54285714285714</v>
      </c>
      <c r="G19" s="16">
        <f t="shared" si="2"/>
        <v>1110</v>
      </c>
      <c r="H19" s="17">
        <f t="shared" si="3"/>
        <v>779.4999999999999</v>
      </c>
      <c r="I19" s="7"/>
    </row>
    <row r="20" spans="1:9" s="8" customFormat="1" ht="15.75" customHeight="1">
      <c r="A20" s="6" t="s">
        <v>530</v>
      </c>
      <c r="B20" s="9" t="s">
        <v>7</v>
      </c>
      <c r="C20" s="9" t="s">
        <v>183</v>
      </c>
      <c r="D20" s="9">
        <v>31.18</v>
      </c>
      <c r="E20" s="15">
        <f t="shared" si="0"/>
        <v>25.768595041322314</v>
      </c>
      <c r="F20" s="15">
        <f t="shared" si="1"/>
        <v>44.54285714285714</v>
      </c>
      <c r="G20" s="16">
        <f t="shared" si="2"/>
        <v>1110</v>
      </c>
      <c r="H20" s="17">
        <f t="shared" si="3"/>
        <v>779.4999999999999</v>
      </c>
      <c r="I20" s="7"/>
    </row>
    <row r="21" spans="1:9" s="8" customFormat="1" ht="15.75" customHeight="1">
      <c r="A21" s="6" t="s">
        <v>531</v>
      </c>
      <c r="B21" s="9" t="s">
        <v>7</v>
      </c>
      <c r="C21" s="9" t="s">
        <v>184</v>
      </c>
      <c r="D21" s="9">
        <v>31.18</v>
      </c>
      <c r="E21" s="15">
        <f t="shared" si="0"/>
        <v>25.768595041322314</v>
      </c>
      <c r="F21" s="15">
        <f t="shared" si="1"/>
        <v>44.54285714285714</v>
      </c>
      <c r="G21" s="16">
        <f t="shared" si="2"/>
        <v>1110</v>
      </c>
      <c r="H21" s="17">
        <f t="shared" si="3"/>
        <v>779.4999999999999</v>
      </c>
      <c r="I21" s="7"/>
    </row>
    <row r="22" spans="1:9" s="8" customFormat="1" ht="15.75" customHeight="1">
      <c r="A22" s="6" t="s">
        <v>532</v>
      </c>
      <c r="B22" s="9" t="s">
        <v>7</v>
      </c>
      <c r="C22" s="9" t="s">
        <v>185</v>
      </c>
      <c r="D22" s="9">
        <v>31.18</v>
      </c>
      <c r="E22" s="15">
        <f t="shared" si="0"/>
        <v>25.768595041322314</v>
      </c>
      <c r="F22" s="15">
        <f t="shared" si="1"/>
        <v>44.54285714285714</v>
      </c>
      <c r="G22" s="16">
        <f t="shared" si="2"/>
        <v>1110</v>
      </c>
      <c r="H22" s="17">
        <f t="shared" si="3"/>
        <v>779.4999999999999</v>
      </c>
      <c r="I22" s="7"/>
    </row>
    <row r="23" spans="1:9" s="8" customFormat="1" ht="15.75" customHeight="1">
      <c r="A23" s="6" t="s">
        <v>533</v>
      </c>
      <c r="B23" s="9" t="s">
        <v>7</v>
      </c>
      <c r="C23" s="9" t="s">
        <v>186</v>
      </c>
      <c r="D23" s="9">
        <v>31.18</v>
      </c>
      <c r="E23" s="15">
        <f t="shared" si="0"/>
        <v>25.768595041322314</v>
      </c>
      <c r="F23" s="15">
        <f t="shared" si="1"/>
        <v>44.54285714285714</v>
      </c>
      <c r="G23" s="16">
        <f t="shared" si="2"/>
        <v>1110</v>
      </c>
      <c r="H23" s="17">
        <f t="shared" si="3"/>
        <v>779.4999999999999</v>
      </c>
      <c r="I23" s="7"/>
    </row>
    <row r="24" spans="1:9" s="8" customFormat="1" ht="15.75" customHeight="1">
      <c r="A24" s="6" t="s">
        <v>534</v>
      </c>
      <c r="B24" s="9" t="s">
        <v>7</v>
      </c>
      <c r="C24" s="9" t="s">
        <v>187</v>
      </c>
      <c r="D24" s="9">
        <v>31.18</v>
      </c>
      <c r="E24" s="15">
        <f t="shared" si="0"/>
        <v>25.768595041322314</v>
      </c>
      <c r="F24" s="15">
        <f t="shared" si="1"/>
        <v>44.54285714285714</v>
      </c>
      <c r="G24" s="16">
        <f t="shared" si="2"/>
        <v>1110</v>
      </c>
      <c r="H24" s="17">
        <f t="shared" si="3"/>
        <v>779.4999999999999</v>
      </c>
      <c r="I24" s="7"/>
    </row>
    <row r="25" spans="1:9" s="8" customFormat="1" ht="15.75" customHeight="1">
      <c r="A25" s="6" t="s">
        <v>535</v>
      </c>
      <c r="B25" s="9" t="s">
        <v>7</v>
      </c>
      <c r="C25" s="9" t="s">
        <v>188</v>
      </c>
      <c r="D25" s="9">
        <v>31.18</v>
      </c>
      <c r="E25" s="15">
        <f t="shared" si="0"/>
        <v>25.768595041322314</v>
      </c>
      <c r="F25" s="15">
        <f t="shared" si="1"/>
        <v>44.54285714285714</v>
      </c>
      <c r="G25" s="16">
        <f t="shared" si="2"/>
        <v>1110</v>
      </c>
      <c r="H25" s="17">
        <f t="shared" si="3"/>
        <v>779.4999999999999</v>
      </c>
      <c r="I25" s="7"/>
    </row>
    <row r="26" spans="1:9" s="8" customFormat="1" ht="15.75" customHeight="1">
      <c r="A26" s="6" t="s">
        <v>536</v>
      </c>
      <c r="B26" s="9" t="s">
        <v>7</v>
      </c>
      <c r="C26" s="9" t="s">
        <v>189</v>
      </c>
      <c r="D26" s="9">
        <v>31.18</v>
      </c>
      <c r="E26" s="15">
        <f t="shared" si="0"/>
        <v>25.768595041322314</v>
      </c>
      <c r="F26" s="15">
        <f t="shared" si="1"/>
        <v>44.54285714285714</v>
      </c>
      <c r="G26" s="16">
        <f t="shared" si="2"/>
        <v>1110</v>
      </c>
      <c r="H26" s="17">
        <f t="shared" si="3"/>
        <v>779.4999999999999</v>
      </c>
      <c r="I26" s="7"/>
    </row>
    <row r="27" spans="1:9" s="8" customFormat="1" ht="15.75" customHeight="1">
      <c r="A27" s="6" t="s">
        <v>537</v>
      </c>
      <c r="B27" s="9" t="s">
        <v>7</v>
      </c>
      <c r="C27" s="9" t="s">
        <v>190</v>
      </c>
      <c r="D27" s="9">
        <v>31.18</v>
      </c>
      <c r="E27" s="15">
        <f t="shared" si="0"/>
        <v>25.768595041322314</v>
      </c>
      <c r="F27" s="15">
        <f t="shared" si="1"/>
        <v>44.54285714285714</v>
      </c>
      <c r="G27" s="16">
        <f t="shared" si="2"/>
        <v>1110</v>
      </c>
      <c r="H27" s="17">
        <f t="shared" si="3"/>
        <v>779.4999999999999</v>
      </c>
      <c r="I27" s="7"/>
    </row>
    <row r="28" spans="1:9" s="8" customFormat="1" ht="15.75" customHeight="1">
      <c r="A28" s="6" t="s">
        <v>538</v>
      </c>
      <c r="B28" s="9" t="s">
        <v>7</v>
      </c>
      <c r="C28" s="9" t="s">
        <v>191</v>
      </c>
      <c r="D28" s="9">
        <v>31.18</v>
      </c>
      <c r="E28" s="15">
        <f t="shared" si="0"/>
        <v>25.768595041322314</v>
      </c>
      <c r="F28" s="15">
        <f t="shared" si="1"/>
        <v>44.54285714285714</v>
      </c>
      <c r="G28" s="16">
        <f t="shared" si="2"/>
        <v>1110</v>
      </c>
      <c r="H28" s="17">
        <f t="shared" si="3"/>
        <v>779.4999999999999</v>
      </c>
      <c r="I28" s="7"/>
    </row>
    <row r="29" spans="1:9" s="8" customFormat="1" ht="15.75" customHeight="1">
      <c r="A29" s="6" t="s">
        <v>1023</v>
      </c>
      <c r="B29" s="9" t="s">
        <v>25</v>
      </c>
      <c r="C29" s="9" t="s">
        <v>1024</v>
      </c>
      <c r="D29" s="9">
        <v>34.83</v>
      </c>
      <c r="E29" s="15">
        <f t="shared" si="0"/>
        <v>28.785123966942148</v>
      </c>
      <c r="F29" s="15">
        <f t="shared" si="1"/>
        <v>49.75714285714286</v>
      </c>
      <c r="G29" s="16">
        <f t="shared" si="2"/>
        <v>1240</v>
      </c>
      <c r="H29" s="17">
        <f t="shared" si="3"/>
        <v>870.75</v>
      </c>
      <c r="I29" s="10"/>
    </row>
    <row r="30" spans="1:9" s="8" customFormat="1" ht="15.75" customHeight="1">
      <c r="A30" s="6" t="s">
        <v>539</v>
      </c>
      <c r="B30" s="9" t="s">
        <v>27</v>
      </c>
      <c r="C30" s="9" t="s">
        <v>608</v>
      </c>
      <c r="D30" s="11">
        <v>28.3</v>
      </c>
      <c r="E30" s="15">
        <f t="shared" si="0"/>
        <v>23.388429752066116</v>
      </c>
      <c r="F30" s="15">
        <f t="shared" si="1"/>
        <v>40.42857142857144</v>
      </c>
      <c r="G30" s="16">
        <f t="shared" si="2"/>
        <v>1010</v>
      </c>
      <c r="H30" s="17">
        <f t="shared" si="3"/>
        <v>707.5000000000001</v>
      </c>
      <c r="I30" s="7"/>
    </row>
    <row r="31" spans="1:9" s="8" customFormat="1" ht="15.75" customHeight="1">
      <c r="A31" s="6" t="s">
        <v>540</v>
      </c>
      <c r="B31" s="9" t="s">
        <v>27</v>
      </c>
      <c r="C31" s="9" t="s">
        <v>609</v>
      </c>
      <c r="D31" s="11">
        <v>103.8</v>
      </c>
      <c r="E31" s="15">
        <f t="shared" si="0"/>
        <v>85.78512396694215</v>
      </c>
      <c r="F31" s="15">
        <f t="shared" si="1"/>
        <v>148.2857142857143</v>
      </c>
      <c r="G31" s="16">
        <f t="shared" si="2"/>
        <v>3710</v>
      </c>
      <c r="H31" s="17">
        <f t="shared" si="3"/>
        <v>2595.0000000000005</v>
      </c>
      <c r="I31" s="7"/>
    </row>
    <row r="32" spans="1:9" s="8" customFormat="1" ht="15.75" customHeight="1">
      <c r="A32" s="6" t="s">
        <v>541</v>
      </c>
      <c r="B32" s="9" t="s">
        <v>27</v>
      </c>
      <c r="C32" s="9" t="s">
        <v>610</v>
      </c>
      <c r="D32" s="9">
        <v>101.63</v>
      </c>
      <c r="E32" s="15">
        <f t="shared" si="0"/>
        <v>83.99173553719008</v>
      </c>
      <c r="F32" s="15">
        <f t="shared" si="1"/>
        <v>145.18571428571428</v>
      </c>
      <c r="G32" s="16">
        <f t="shared" si="2"/>
        <v>3630</v>
      </c>
      <c r="H32" s="17">
        <f t="shared" si="3"/>
        <v>2540.7499999999995</v>
      </c>
      <c r="I32" s="7"/>
    </row>
    <row r="33" spans="1:9" s="8" customFormat="1" ht="15.75" customHeight="1">
      <c r="A33" s="6" t="s">
        <v>542</v>
      </c>
      <c r="B33" s="9" t="s">
        <v>27</v>
      </c>
      <c r="C33" s="9" t="s">
        <v>611</v>
      </c>
      <c r="D33" s="9">
        <v>54.44</v>
      </c>
      <c r="E33" s="15">
        <f t="shared" si="0"/>
        <v>44.99173553719008</v>
      </c>
      <c r="F33" s="15">
        <f t="shared" si="1"/>
        <v>77.77142857142857</v>
      </c>
      <c r="G33" s="16">
        <f t="shared" si="2"/>
        <v>1940</v>
      </c>
      <c r="H33" s="17">
        <f t="shared" si="3"/>
        <v>1360.9999999999998</v>
      </c>
      <c r="I33" s="7"/>
    </row>
    <row r="34" spans="1:9" s="8" customFormat="1" ht="15.75" customHeight="1">
      <c r="A34" s="6" t="s">
        <v>546</v>
      </c>
      <c r="B34" s="9" t="s">
        <v>28</v>
      </c>
      <c r="C34" s="9" t="s">
        <v>550</v>
      </c>
      <c r="D34" s="9">
        <v>24.67</v>
      </c>
      <c r="E34" s="15">
        <f t="shared" si="0"/>
        <v>20.388429752066116</v>
      </c>
      <c r="F34" s="15">
        <f t="shared" si="1"/>
        <v>35.24285714285715</v>
      </c>
      <c r="G34" s="16">
        <f t="shared" si="2"/>
        <v>880</v>
      </c>
      <c r="H34" s="17">
        <f t="shared" si="3"/>
        <v>616.75</v>
      </c>
      <c r="I34" s="7"/>
    </row>
    <row r="35" spans="1:9" s="8" customFormat="1" ht="15.75" customHeight="1">
      <c r="A35" s="6" t="s">
        <v>87</v>
      </c>
      <c r="B35" s="9" t="s">
        <v>10</v>
      </c>
      <c r="C35" s="9" t="s">
        <v>787</v>
      </c>
      <c r="D35" s="9">
        <v>86.38</v>
      </c>
      <c r="E35" s="15">
        <f t="shared" si="0"/>
        <v>71.38842975206612</v>
      </c>
      <c r="F35" s="15">
        <f t="shared" si="1"/>
        <v>123.4</v>
      </c>
      <c r="G35" s="16">
        <f t="shared" si="2"/>
        <v>3090</v>
      </c>
      <c r="H35" s="17">
        <f t="shared" si="3"/>
        <v>2159.5</v>
      </c>
      <c r="I35" s="7"/>
    </row>
    <row r="36" spans="1:9" s="8" customFormat="1" ht="15.75" customHeight="1">
      <c r="A36" s="6" t="s">
        <v>88</v>
      </c>
      <c r="B36" s="9" t="s">
        <v>27</v>
      </c>
      <c r="C36" s="9" t="s">
        <v>612</v>
      </c>
      <c r="D36" s="9">
        <v>57.34</v>
      </c>
      <c r="E36" s="15">
        <f t="shared" si="0"/>
        <v>47.388429752066116</v>
      </c>
      <c r="F36" s="15">
        <f t="shared" si="1"/>
        <v>81.91428571428571</v>
      </c>
      <c r="G36" s="16">
        <f t="shared" si="2"/>
        <v>2050</v>
      </c>
      <c r="H36" s="17">
        <f t="shared" si="3"/>
        <v>1433.4999999999998</v>
      </c>
      <c r="I36" s="7"/>
    </row>
    <row r="37" spans="1:9" s="8" customFormat="1" ht="15.75" customHeight="1">
      <c r="A37" s="6" t="s">
        <v>916</v>
      </c>
      <c r="B37" s="9" t="s">
        <v>10</v>
      </c>
      <c r="C37" s="19" t="s">
        <v>917</v>
      </c>
      <c r="D37" s="19">
        <v>84.91</v>
      </c>
      <c r="E37" s="15">
        <f t="shared" si="0"/>
        <v>70.17355371900827</v>
      </c>
      <c r="F37" s="15">
        <f t="shared" si="1"/>
        <v>121.30000000000001</v>
      </c>
      <c r="G37" s="16">
        <f t="shared" si="2"/>
        <v>3030</v>
      </c>
      <c r="H37" s="17">
        <f t="shared" si="3"/>
        <v>2122.75</v>
      </c>
      <c r="I37" s="7"/>
    </row>
    <row r="38" spans="1:9" s="8" customFormat="1" ht="15.75" customHeight="1">
      <c r="A38" s="6" t="s">
        <v>1038</v>
      </c>
      <c r="B38" s="9" t="s">
        <v>10</v>
      </c>
      <c r="C38" s="9" t="s">
        <v>551</v>
      </c>
      <c r="D38" s="9">
        <v>14.76</v>
      </c>
      <c r="E38" s="15">
        <f t="shared" si="0"/>
        <v>12.198347107438016</v>
      </c>
      <c r="F38" s="15">
        <f t="shared" si="1"/>
        <v>21.085714285714285</v>
      </c>
      <c r="G38" s="16">
        <f t="shared" si="2"/>
        <v>530</v>
      </c>
      <c r="H38" s="17">
        <f t="shared" si="3"/>
        <v>368.99999999999994</v>
      </c>
      <c r="I38" s="7"/>
    </row>
    <row r="39" spans="1:9" s="8" customFormat="1" ht="15.75" customHeight="1">
      <c r="A39" s="6" t="s">
        <v>192</v>
      </c>
      <c r="B39" s="9" t="s">
        <v>9</v>
      </c>
      <c r="C39" s="9" t="s">
        <v>135</v>
      </c>
      <c r="D39" s="9">
        <v>148.1</v>
      </c>
      <c r="E39" s="15">
        <f t="shared" si="0"/>
        <v>122.39669421487604</v>
      </c>
      <c r="F39" s="15">
        <f t="shared" si="1"/>
        <v>211.57142857142858</v>
      </c>
      <c r="G39" s="16">
        <f t="shared" si="2"/>
        <v>5290</v>
      </c>
      <c r="H39" s="17">
        <f t="shared" si="3"/>
        <v>3702.5</v>
      </c>
      <c r="I39" s="7"/>
    </row>
    <row r="40" spans="1:9" s="8" customFormat="1" ht="15.75" customHeight="1">
      <c r="A40" s="6" t="s">
        <v>193</v>
      </c>
      <c r="B40" s="9" t="s">
        <v>9</v>
      </c>
      <c r="C40" s="9" t="s">
        <v>552</v>
      </c>
      <c r="D40" s="9">
        <v>33.57</v>
      </c>
      <c r="E40" s="15">
        <f t="shared" si="0"/>
        <v>27.743801652892564</v>
      </c>
      <c r="F40" s="15">
        <f t="shared" si="1"/>
        <v>47.95714285714286</v>
      </c>
      <c r="G40" s="16">
        <f t="shared" si="2"/>
        <v>1200</v>
      </c>
      <c r="H40" s="17">
        <f t="shared" si="3"/>
        <v>839.25</v>
      </c>
      <c r="I40" s="7"/>
    </row>
    <row r="41" spans="1:9" s="8" customFormat="1" ht="15.75" customHeight="1">
      <c r="A41" s="6" t="s">
        <v>194</v>
      </c>
      <c r="B41" s="9" t="s">
        <v>27</v>
      </c>
      <c r="C41" s="9" t="s">
        <v>613</v>
      </c>
      <c r="D41" s="9">
        <v>96.64</v>
      </c>
      <c r="E41" s="15">
        <f t="shared" si="0"/>
        <v>79.86776859504133</v>
      </c>
      <c r="F41" s="15">
        <f t="shared" si="1"/>
        <v>138.05714285714288</v>
      </c>
      <c r="G41" s="16">
        <f t="shared" si="2"/>
        <v>3450</v>
      </c>
      <c r="H41" s="17">
        <f t="shared" si="3"/>
        <v>2416.0000000000005</v>
      </c>
      <c r="I41" s="7"/>
    </row>
    <row r="42" spans="1:9" s="8" customFormat="1" ht="15.75" customHeight="1">
      <c r="A42" s="6" t="s">
        <v>195</v>
      </c>
      <c r="B42" s="9" t="s">
        <v>27</v>
      </c>
      <c r="C42" s="9" t="s">
        <v>614</v>
      </c>
      <c r="D42" s="9">
        <v>48.29</v>
      </c>
      <c r="E42" s="15">
        <f t="shared" si="0"/>
        <v>39.90909090909091</v>
      </c>
      <c r="F42" s="15">
        <f t="shared" si="1"/>
        <v>68.98571428571428</v>
      </c>
      <c r="G42" s="16">
        <f t="shared" si="2"/>
        <v>1720</v>
      </c>
      <c r="H42" s="17">
        <f t="shared" si="3"/>
        <v>1207.25</v>
      </c>
      <c r="I42" s="7"/>
    </row>
    <row r="43" spans="1:9" s="8" customFormat="1" ht="15.75" customHeight="1">
      <c r="A43" s="6" t="s">
        <v>196</v>
      </c>
      <c r="B43" s="9" t="s">
        <v>12</v>
      </c>
      <c r="C43" s="9" t="s">
        <v>553</v>
      </c>
      <c r="D43" s="9">
        <v>29.57</v>
      </c>
      <c r="E43" s="15">
        <f aca="true" t="shared" si="4" ref="E43:E52">D43/1.21</f>
        <v>24.43801652892562</v>
      </c>
      <c r="F43" s="15">
        <f t="shared" si="1"/>
        <v>42.24285714285715</v>
      </c>
      <c r="G43" s="16">
        <f t="shared" si="2"/>
        <v>1060</v>
      </c>
      <c r="H43" s="17">
        <f t="shared" si="3"/>
        <v>739.25</v>
      </c>
      <c r="I43" s="7"/>
    </row>
    <row r="44" spans="1:9" s="8" customFormat="1" ht="15.75" customHeight="1">
      <c r="A44" s="6" t="s">
        <v>197</v>
      </c>
      <c r="B44" s="9" t="s">
        <v>12</v>
      </c>
      <c r="C44" s="9" t="s">
        <v>554</v>
      </c>
      <c r="D44" s="9">
        <v>29.57</v>
      </c>
      <c r="E44" s="15">
        <f t="shared" si="4"/>
        <v>24.43801652892562</v>
      </c>
      <c r="F44" s="15">
        <f t="shared" si="1"/>
        <v>42.24285714285715</v>
      </c>
      <c r="G44" s="16">
        <f t="shared" si="2"/>
        <v>1060</v>
      </c>
      <c r="H44" s="17">
        <f t="shared" si="3"/>
        <v>739.25</v>
      </c>
      <c r="I44" s="7"/>
    </row>
    <row r="45" spans="1:9" s="8" customFormat="1" ht="15.75" customHeight="1">
      <c r="A45" s="6" t="s">
        <v>198</v>
      </c>
      <c r="B45" s="9" t="s">
        <v>12</v>
      </c>
      <c r="C45" s="9" t="s">
        <v>555</v>
      </c>
      <c r="D45" s="9">
        <v>29.57</v>
      </c>
      <c r="E45" s="15">
        <f t="shared" si="4"/>
        <v>24.43801652892562</v>
      </c>
      <c r="F45" s="15">
        <f t="shared" si="1"/>
        <v>42.24285714285715</v>
      </c>
      <c r="G45" s="16">
        <f t="shared" si="2"/>
        <v>1060</v>
      </c>
      <c r="H45" s="17">
        <f t="shared" si="3"/>
        <v>739.25</v>
      </c>
      <c r="I45" s="7"/>
    </row>
    <row r="46" spans="1:9" s="8" customFormat="1" ht="15.75" customHeight="1">
      <c r="A46" s="6" t="s">
        <v>199</v>
      </c>
      <c r="B46" s="9" t="s">
        <v>12</v>
      </c>
      <c r="C46" s="9" t="s">
        <v>556</v>
      </c>
      <c r="D46" s="9">
        <v>29.57</v>
      </c>
      <c r="E46" s="15">
        <f t="shared" si="4"/>
        <v>24.43801652892562</v>
      </c>
      <c r="F46" s="15">
        <f t="shared" si="1"/>
        <v>42.24285714285715</v>
      </c>
      <c r="G46" s="16">
        <f t="shared" si="2"/>
        <v>1060</v>
      </c>
      <c r="H46" s="17">
        <f t="shared" si="3"/>
        <v>739.25</v>
      </c>
      <c r="I46" s="7"/>
    </row>
    <row r="47" spans="1:9" s="8" customFormat="1" ht="15.75" customHeight="1">
      <c r="A47" s="6" t="s">
        <v>200</v>
      </c>
      <c r="B47" s="9" t="s">
        <v>6</v>
      </c>
      <c r="C47" s="9" t="s">
        <v>557</v>
      </c>
      <c r="D47" s="9">
        <v>19.5</v>
      </c>
      <c r="E47" s="15">
        <f t="shared" si="4"/>
        <v>16.115702479338843</v>
      </c>
      <c r="F47" s="15">
        <f t="shared" si="1"/>
        <v>27.85714285714286</v>
      </c>
      <c r="G47" s="16">
        <f t="shared" si="2"/>
        <v>700</v>
      </c>
      <c r="H47" s="17">
        <f t="shared" si="3"/>
        <v>487.50000000000006</v>
      </c>
      <c r="I47" s="7"/>
    </row>
    <row r="48" spans="1:9" s="8" customFormat="1" ht="15.75" customHeight="1">
      <c r="A48" s="6" t="s">
        <v>201</v>
      </c>
      <c r="B48" s="9" t="s">
        <v>6</v>
      </c>
      <c r="C48" s="9" t="s">
        <v>558</v>
      </c>
      <c r="D48" s="9">
        <v>19.5</v>
      </c>
      <c r="E48" s="15">
        <f t="shared" si="4"/>
        <v>16.115702479338843</v>
      </c>
      <c r="F48" s="15">
        <f t="shared" si="1"/>
        <v>27.85714285714286</v>
      </c>
      <c r="G48" s="16">
        <f t="shared" si="2"/>
        <v>700</v>
      </c>
      <c r="H48" s="17">
        <f t="shared" si="3"/>
        <v>487.50000000000006</v>
      </c>
      <c r="I48" s="7"/>
    </row>
    <row r="49" spans="1:9" s="8" customFormat="1" ht="15.75" customHeight="1">
      <c r="A49" s="6" t="s">
        <v>202</v>
      </c>
      <c r="B49" s="9" t="s">
        <v>6</v>
      </c>
      <c r="C49" s="9" t="s">
        <v>838</v>
      </c>
      <c r="D49" s="9">
        <v>19.5</v>
      </c>
      <c r="E49" s="15">
        <f t="shared" si="4"/>
        <v>16.115702479338843</v>
      </c>
      <c r="F49" s="15">
        <f t="shared" si="1"/>
        <v>27.85714285714286</v>
      </c>
      <c r="G49" s="16">
        <f t="shared" si="2"/>
        <v>700</v>
      </c>
      <c r="H49" s="17">
        <f t="shared" si="3"/>
        <v>487.50000000000006</v>
      </c>
      <c r="I49" s="7"/>
    </row>
    <row r="50" spans="1:9" s="8" customFormat="1" ht="15.75" customHeight="1">
      <c r="A50" s="6" t="s">
        <v>203</v>
      </c>
      <c r="B50" s="9" t="s">
        <v>6</v>
      </c>
      <c r="C50" s="9" t="s">
        <v>560</v>
      </c>
      <c r="D50" s="9">
        <v>19.5</v>
      </c>
      <c r="E50" s="15">
        <f t="shared" si="4"/>
        <v>16.115702479338843</v>
      </c>
      <c r="F50" s="15">
        <f t="shared" si="1"/>
        <v>27.85714285714286</v>
      </c>
      <c r="G50" s="16">
        <f t="shared" si="2"/>
        <v>700</v>
      </c>
      <c r="H50" s="17">
        <f t="shared" si="3"/>
        <v>487.50000000000006</v>
      </c>
      <c r="I50" s="7"/>
    </row>
    <row r="51" spans="1:9" s="8" customFormat="1" ht="15.75" customHeight="1">
      <c r="A51" s="6" t="s">
        <v>204</v>
      </c>
      <c r="B51" s="9" t="s">
        <v>6</v>
      </c>
      <c r="C51" s="9" t="s">
        <v>839</v>
      </c>
      <c r="D51" s="9">
        <v>19.5</v>
      </c>
      <c r="E51" s="15">
        <f t="shared" si="4"/>
        <v>16.115702479338843</v>
      </c>
      <c r="F51" s="15">
        <f t="shared" si="1"/>
        <v>27.85714285714286</v>
      </c>
      <c r="G51" s="16">
        <f t="shared" si="2"/>
        <v>700</v>
      </c>
      <c r="H51" s="17">
        <f t="shared" si="3"/>
        <v>487.50000000000006</v>
      </c>
      <c r="I51" s="7"/>
    </row>
    <row r="52" spans="1:9" s="8" customFormat="1" ht="15.75" customHeight="1">
      <c r="A52" s="6" t="s">
        <v>205</v>
      </c>
      <c r="B52" s="9" t="s">
        <v>6</v>
      </c>
      <c r="C52" s="9" t="s">
        <v>559</v>
      </c>
      <c r="D52" s="9">
        <v>19.5</v>
      </c>
      <c r="E52" s="15">
        <f t="shared" si="4"/>
        <v>16.115702479338843</v>
      </c>
      <c r="F52" s="15">
        <f t="shared" si="1"/>
        <v>27.85714285714286</v>
      </c>
      <c r="G52" s="16">
        <f t="shared" si="2"/>
        <v>700</v>
      </c>
      <c r="H52" s="17">
        <f t="shared" si="3"/>
        <v>487.50000000000006</v>
      </c>
      <c r="I52" s="7"/>
    </row>
    <row r="53" spans="1:9" s="8" customFormat="1" ht="15.75" customHeight="1">
      <c r="A53" s="6" t="s">
        <v>206</v>
      </c>
      <c r="B53" s="9" t="s">
        <v>6</v>
      </c>
      <c r="C53" s="9" t="s">
        <v>561</v>
      </c>
      <c r="D53" s="9">
        <v>19.5</v>
      </c>
      <c r="E53" s="15">
        <f aca="true" t="shared" si="5" ref="E53:E59">D53/1.21</f>
        <v>16.115702479338843</v>
      </c>
      <c r="F53" s="15">
        <f t="shared" si="1"/>
        <v>27.85714285714286</v>
      </c>
      <c r="G53" s="16">
        <f t="shared" si="2"/>
        <v>700</v>
      </c>
      <c r="H53" s="17">
        <f t="shared" si="3"/>
        <v>487.50000000000006</v>
      </c>
      <c r="I53" s="7"/>
    </row>
    <row r="54" spans="1:9" s="8" customFormat="1" ht="15.75" customHeight="1">
      <c r="A54" s="6" t="s">
        <v>207</v>
      </c>
      <c r="B54" s="9" t="s">
        <v>6</v>
      </c>
      <c r="C54" s="9" t="s">
        <v>562</v>
      </c>
      <c r="D54" s="9">
        <v>19.5</v>
      </c>
      <c r="E54" s="15">
        <f t="shared" si="5"/>
        <v>16.115702479338843</v>
      </c>
      <c r="F54" s="15">
        <f t="shared" si="1"/>
        <v>27.85714285714286</v>
      </c>
      <c r="G54" s="16">
        <f t="shared" si="2"/>
        <v>700</v>
      </c>
      <c r="H54" s="17">
        <f t="shared" si="3"/>
        <v>487.50000000000006</v>
      </c>
      <c r="I54" s="7"/>
    </row>
    <row r="55" spans="1:9" s="8" customFormat="1" ht="15.75" customHeight="1">
      <c r="A55" s="6" t="s">
        <v>208</v>
      </c>
      <c r="B55" s="9" t="s">
        <v>6</v>
      </c>
      <c r="C55" s="9" t="s">
        <v>563</v>
      </c>
      <c r="D55" s="9">
        <v>19.5</v>
      </c>
      <c r="E55" s="15">
        <f t="shared" si="5"/>
        <v>16.115702479338843</v>
      </c>
      <c r="F55" s="15">
        <f t="shared" si="1"/>
        <v>27.85714285714286</v>
      </c>
      <c r="G55" s="16">
        <f t="shared" si="2"/>
        <v>700</v>
      </c>
      <c r="H55" s="17">
        <f t="shared" si="3"/>
        <v>487.50000000000006</v>
      </c>
      <c r="I55" s="7"/>
    </row>
    <row r="56" spans="1:9" s="8" customFormat="1" ht="15.75" customHeight="1">
      <c r="A56" s="6" t="s">
        <v>209</v>
      </c>
      <c r="B56" s="9" t="s">
        <v>6</v>
      </c>
      <c r="C56" s="9" t="s">
        <v>836</v>
      </c>
      <c r="D56" s="9">
        <v>19.5</v>
      </c>
      <c r="E56" s="15">
        <f t="shared" si="5"/>
        <v>16.115702479338843</v>
      </c>
      <c r="F56" s="15">
        <f t="shared" si="1"/>
        <v>27.85714285714286</v>
      </c>
      <c r="G56" s="16">
        <f t="shared" si="2"/>
        <v>700</v>
      </c>
      <c r="H56" s="17">
        <f t="shared" si="3"/>
        <v>487.50000000000006</v>
      </c>
      <c r="I56" s="7"/>
    </row>
    <row r="57" spans="1:9" s="8" customFormat="1" ht="15.75" customHeight="1">
      <c r="A57" s="6" t="s">
        <v>210</v>
      </c>
      <c r="B57" s="9" t="s">
        <v>6</v>
      </c>
      <c r="C57" s="9" t="s">
        <v>564</v>
      </c>
      <c r="D57" s="9">
        <v>19.5</v>
      </c>
      <c r="E57" s="15">
        <f t="shared" si="5"/>
        <v>16.115702479338843</v>
      </c>
      <c r="F57" s="15">
        <f t="shared" si="1"/>
        <v>27.85714285714286</v>
      </c>
      <c r="G57" s="16">
        <f t="shared" si="2"/>
        <v>700</v>
      </c>
      <c r="H57" s="17">
        <f t="shared" si="3"/>
        <v>487.50000000000006</v>
      </c>
      <c r="I57" s="7"/>
    </row>
    <row r="58" spans="1:9" s="8" customFormat="1" ht="15.75" customHeight="1">
      <c r="A58" s="6" t="s">
        <v>211</v>
      </c>
      <c r="B58" s="9" t="s">
        <v>6</v>
      </c>
      <c r="C58" s="9" t="s">
        <v>837</v>
      </c>
      <c r="D58" s="9">
        <v>19.5</v>
      </c>
      <c r="E58" s="15">
        <f t="shared" si="5"/>
        <v>16.115702479338843</v>
      </c>
      <c r="F58" s="15">
        <f t="shared" si="1"/>
        <v>27.85714285714286</v>
      </c>
      <c r="G58" s="16">
        <f t="shared" si="2"/>
        <v>700</v>
      </c>
      <c r="H58" s="17">
        <f t="shared" si="3"/>
        <v>487.50000000000006</v>
      </c>
      <c r="I58" s="7"/>
    </row>
    <row r="59" spans="1:9" s="8" customFormat="1" ht="15.75" customHeight="1">
      <c r="A59" s="6" t="s">
        <v>212</v>
      </c>
      <c r="B59" s="9" t="s">
        <v>6</v>
      </c>
      <c r="C59" s="9" t="s">
        <v>565</v>
      </c>
      <c r="D59" s="9">
        <v>19.5</v>
      </c>
      <c r="E59" s="15">
        <f t="shared" si="5"/>
        <v>16.115702479338843</v>
      </c>
      <c r="F59" s="15">
        <f t="shared" si="1"/>
        <v>27.85714285714286</v>
      </c>
      <c r="G59" s="16">
        <f t="shared" si="2"/>
        <v>700</v>
      </c>
      <c r="H59" s="17">
        <f t="shared" si="3"/>
        <v>487.50000000000006</v>
      </c>
      <c r="I59" s="7"/>
    </row>
    <row r="60" spans="1:9" s="8" customFormat="1" ht="15.75" customHeight="1">
      <c r="A60" s="6" t="s">
        <v>213</v>
      </c>
      <c r="B60" s="9" t="s">
        <v>12</v>
      </c>
      <c r="C60" s="9" t="s">
        <v>566</v>
      </c>
      <c r="D60" s="9">
        <v>29.57</v>
      </c>
      <c r="E60" s="15">
        <f aca="true" t="shared" si="6" ref="E60:E92">D60/1.21</f>
        <v>24.43801652892562</v>
      </c>
      <c r="F60" s="15">
        <f t="shared" si="1"/>
        <v>42.24285714285715</v>
      </c>
      <c r="G60" s="16">
        <f t="shared" si="2"/>
        <v>1060</v>
      </c>
      <c r="H60" s="17">
        <f t="shared" si="3"/>
        <v>739.25</v>
      </c>
      <c r="I60" s="7"/>
    </row>
    <row r="61" spans="1:9" s="8" customFormat="1" ht="15.75" customHeight="1">
      <c r="A61" s="6" t="s">
        <v>214</v>
      </c>
      <c r="B61" s="9" t="s">
        <v>12</v>
      </c>
      <c r="C61" s="9" t="s">
        <v>567</v>
      </c>
      <c r="D61" s="9">
        <v>29.57</v>
      </c>
      <c r="E61" s="15">
        <f t="shared" si="6"/>
        <v>24.43801652892562</v>
      </c>
      <c r="F61" s="15">
        <f aca="true" t="shared" si="7" ref="F61:F92">(E61/0.7)*1.21</f>
        <v>42.24285714285715</v>
      </c>
      <c r="G61" s="16">
        <f aca="true" t="shared" si="8" ref="G61:G92">ROUND((F61/1.21)*1.21*$I$1,-1)</f>
        <v>1060</v>
      </c>
      <c r="H61" s="17">
        <f aca="true" t="shared" si="9" ref="H61:H92">(F61/1.21)*1.21*$I$1*0.7</f>
        <v>739.25</v>
      </c>
      <c r="I61" s="7"/>
    </row>
    <row r="62" spans="1:9" s="8" customFormat="1" ht="15.75" customHeight="1">
      <c r="A62" s="6" t="s">
        <v>215</v>
      </c>
      <c r="B62" s="9" t="s">
        <v>12</v>
      </c>
      <c r="C62" s="9" t="s">
        <v>568</v>
      </c>
      <c r="D62" s="9">
        <v>29.57</v>
      </c>
      <c r="E62" s="15">
        <f t="shared" si="6"/>
        <v>24.43801652892562</v>
      </c>
      <c r="F62" s="15">
        <f t="shared" si="7"/>
        <v>42.24285714285715</v>
      </c>
      <c r="G62" s="16">
        <f t="shared" si="8"/>
        <v>1060</v>
      </c>
      <c r="H62" s="17">
        <f t="shared" si="9"/>
        <v>739.25</v>
      </c>
      <c r="I62" s="7"/>
    </row>
    <row r="63" spans="1:9" s="8" customFormat="1" ht="15">
      <c r="A63" s="6" t="s">
        <v>216</v>
      </c>
      <c r="B63" s="9" t="s">
        <v>12</v>
      </c>
      <c r="C63" s="9" t="s">
        <v>569</v>
      </c>
      <c r="D63" s="9">
        <v>29.57</v>
      </c>
      <c r="E63" s="15">
        <f t="shared" si="6"/>
        <v>24.43801652892562</v>
      </c>
      <c r="F63" s="15">
        <f t="shared" si="7"/>
        <v>42.24285714285715</v>
      </c>
      <c r="G63" s="16">
        <f t="shared" si="8"/>
        <v>1060</v>
      </c>
      <c r="H63" s="17">
        <f t="shared" si="9"/>
        <v>739.25</v>
      </c>
      <c r="I63" s="7"/>
    </row>
    <row r="64" spans="1:9" s="8" customFormat="1" ht="15">
      <c r="A64" s="6" t="s">
        <v>217</v>
      </c>
      <c r="B64" s="9" t="s">
        <v>12</v>
      </c>
      <c r="C64" s="9" t="s">
        <v>570</v>
      </c>
      <c r="D64" s="9">
        <v>29.57</v>
      </c>
      <c r="E64" s="15">
        <f t="shared" si="6"/>
        <v>24.43801652892562</v>
      </c>
      <c r="F64" s="15">
        <f t="shared" si="7"/>
        <v>42.24285714285715</v>
      </c>
      <c r="G64" s="16">
        <f t="shared" si="8"/>
        <v>1060</v>
      </c>
      <c r="H64" s="17">
        <f t="shared" si="9"/>
        <v>739.25</v>
      </c>
      <c r="I64" s="7"/>
    </row>
    <row r="65" spans="1:9" s="8" customFormat="1" ht="15">
      <c r="A65" s="6" t="s">
        <v>218</v>
      </c>
      <c r="B65" s="9" t="s">
        <v>12</v>
      </c>
      <c r="C65" s="9" t="s">
        <v>571</v>
      </c>
      <c r="D65" s="9">
        <v>29.57</v>
      </c>
      <c r="E65" s="15">
        <f t="shared" si="6"/>
        <v>24.43801652892562</v>
      </c>
      <c r="F65" s="15">
        <f t="shared" si="7"/>
        <v>42.24285714285715</v>
      </c>
      <c r="G65" s="16">
        <f t="shared" si="8"/>
        <v>1060</v>
      </c>
      <c r="H65" s="17">
        <f t="shared" si="9"/>
        <v>739.25</v>
      </c>
      <c r="I65" s="7"/>
    </row>
    <row r="66" spans="1:9" s="8" customFormat="1" ht="15">
      <c r="A66" s="6" t="s">
        <v>219</v>
      </c>
      <c r="B66" s="9" t="s">
        <v>12</v>
      </c>
      <c r="C66" s="9" t="s">
        <v>572</v>
      </c>
      <c r="D66" s="9">
        <v>29.57</v>
      </c>
      <c r="E66" s="15">
        <f t="shared" si="6"/>
        <v>24.43801652892562</v>
      </c>
      <c r="F66" s="15">
        <f t="shared" si="7"/>
        <v>42.24285714285715</v>
      </c>
      <c r="G66" s="16">
        <f t="shared" si="8"/>
        <v>1060</v>
      </c>
      <c r="H66" s="17">
        <f t="shared" si="9"/>
        <v>739.25</v>
      </c>
      <c r="I66" s="7"/>
    </row>
    <row r="67" spans="1:9" s="8" customFormat="1" ht="15">
      <c r="A67" s="6" t="s">
        <v>220</v>
      </c>
      <c r="B67" s="9" t="s">
        <v>12</v>
      </c>
      <c r="C67" s="9" t="s">
        <v>573</v>
      </c>
      <c r="D67" s="9">
        <v>29.57</v>
      </c>
      <c r="E67" s="15">
        <f t="shared" si="6"/>
        <v>24.43801652892562</v>
      </c>
      <c r="F67" s="15">
        <f t="shared" si="7"/>
        <v>42.24285714285715</v>
      </c>
      <c r="G67" s="16">
        <f t="shared" si="8"/>
        <v>1060</v>
      </c>
      <c r="H67" s="17">
        <f t="shared" si="9"/>
        <v>739.25</v>
      </c>
      <c r="I67" s="7"/>
    </row>
    <row r="68" spans="1:9" s="8" customFormat="1" ht="15">
      <c r="A68" s="6" t="s">
        <v>221</v>
      </c>
      <c r="B68" s="9" t="s">
        <v>12</v>
      </c>
      <c r="C68" s="9" t="s">
        <v>574</v>
      </c>
      <c r="D68" s="9">
        <v>29.57</v>
      </c>
      <c r="E68" s="15">
        <f t="shared" si="6"/>
        <v>24.43801652892562</v>
      </c>
      <c r="F68" s="15">
        <f t="shared" si="7"/>
        <v>42.24285714285715</v>
      </c>
      <c r="G68" s="16">
        <f t="shared" si="8"/>
        <v>1060</v>
      </c>
      <c r="H68" s="17">
        <f t="shared" si="9"/>
        <v>739.25</v>
      </c>
      <c r="I68" s="7"/>
    </row>
    <row r="69" spans="1:9" s="8" customFormat="1" ht="15">
      <c r="A69" s="6" t="s">
        <v>930</v>
      </c>
      <c r="B69" s="9" t="s">
        <v>12</v>
      </c>
      <c r="C69" s="9" t="s">
        <v>931</v>
      </c>
      <c r="D69" s="9">
        <v>29.57</v>
      </c>
      <c r="E69" s="15">
        <f t="shared" si="6"/>
        <v>24.43801652892562</v>
      </c>
      <c r="F69" s="15">
        <f t="shared" si="7"/>
        <v>42.24285714285715</v>
      </c>
      <c r="G69" s="16">
        <f t="shared" si="8"/>
        <v>1060</v>
      </c>
      <c r="H69" s="17">
        <f t="shared" si="9"/>
        <v>739.25</v>
      </c>
      <c r="I69" s="7"/>
    </row>
    <row r="70" spans="1:9" s="8" customFormat="1" ht="15">
      <c r="A70" s="6" t="s">
        <v>222</v>
      </c>
      <c r="B70" s="9" t="s">
        <v>11</v>
      </c>
      <c r="C70" s="9" t="s">
        <v>575</v>
      </c>
      <c r="D70" s="9">
        <v>19.7</v>
      </c>
      <c r="E70" s="15">
        <f t="shared" si="6"/>
        <v>16.28099173553719</v>
      </c>
      <c r="F70" s="15">
        <f t="shared" si="7"/>
        <v>28.142857142857142</v>
      </c>
      <c r="G70" s="16">
        <f t="shared" si="8"/>
        <v>700</v>
      </c>
      <c r="H70" s="17">
        <f t="shared" si="9"/>
        <v>492.49999999999994</v>
      </c>
      <c r="I70" s="7"/>
    </row>
    <row r="71" spans="1:9" s="8" customFormat="1" ht="13.5" customHeight="1">
      <c r="A71" s="3"/>
      <c r="B71" s="4"/>
      <c r="C71" s="5"/>
      <c r="D71" s="27" t="s">
        <v>1029</v>
      </c>
      <c r="E71" s="27" t="s">
        <v>71</v>
      </c>
      <c r="F71" s="27" t="s">
        <v>1026</v>
      </c>
      <c r="G71" s="27" t="s">
        <v>1027</v>
      </c>
      <c r="H71" s="27" t="s">
        <v>1028</v>
      </c>
      <c r="I71" s="4"/>
    </row>
    <row r="72" spans="1:9" s="8" customFormat="1" ht="31.5" customHeight="1" thickBot="1">
      <c r="A72" s="20" t="s">
        <v>117</v>
      </c>
      <c r="B72" s="20" t="s">
        <v>118</v>
      </c>
      <c r="C72" s="20" t="s">
        <v>119</v>
      </c>
      <c r="D72" s="28"/>
      <c r="E72" s="28"/>
      <c r="F72" s="28"/>
      <c r="G72" s="28"/>
      <c r="H72" s="28"/>
      <c r="I72" s="20" t="s">
        <v>765</v>
      </c>
    </row>
    <row r="73" spans="1:9" s="8" customFormat="1" ht="15.75" thickTop="1">
      <c r="A73" s="6" t="s">
        <v>223</v>
      </c>
      <c r="B73" s="9" t="s">
        <v>11</v>
      </c>
      <c r="C73" s="9" t="s">
        <v>576</v>
      </c>
      <c r="D73" s="9">
        <v>19.7</v>
      </c>
      <c r="E73" s="15">
        <f t="shared" si="6"/>
        <v>16.28099173553719</v>
      </c>
      <c r="F73" s="15">
        <f t="shared" si="7"/>
        <v>28.142857142857142</v>
      </c>
      <c r="G73" s="16">
        <f t="shared" si="8"/>
        <v>700</v>
      </c>
      <c r="H73" s="17">
        <f t="shared" si="9"/>
        <v>492.49999999999994</v>
      </c>
      <c r="I73" s="7"/>
    </row>
    <row r="74" spans="1:9" s="8" customFormat="1" ht="15">
      <c r="A74" s="6" t="s">
        <v>224</v>
      </c>
      <c r="B74" s="9" t="s">
        <v>11</v>
      </c>
      <c r="C74" s="9" t="s">
        <v>577</v>
      </c>
      <c r="D74" s="9">
        <v>19.7</v>
      </c>
      <c r="E74" s="15">
        <f t="shared" si="6"/>
        <v>16.28099173553719</v>
      </c>
      <c r="F74" s="15">
        <f t="shared" si="7"/>
        <v>28.142857142857142</v>
      </c>
      <c r="G74" s="16">
        <f t="shared" si="8"/>
        <v>700</v>
      </c>
      <c r="H74" s="17">
        <f t="shared" si="9"/>
        <v>492.49999999999994</v>
      </c>
      <c r="I74" s="7"/>
    </row>
    <row r="75" spans="1:9" s="8" customFormat="1" ht="15">
      <c r="A75" s="6" t="s">
        <v>225</v>
      </c>
      <c r="B75" s="9" t="s">
        <v>11</v>
      </c>
      <c r="C75" s="9" t="s">
        <v>578</v>
      </c>
      <c r="D75" s="9">
        <v>19.7</v>
      </c>
      <c r="E75" s="15">
        <f t="shared" si="6"/>
        <v>16.28099173553719</v>
      </c>
      <c r="F75" s="15">
        <f t="shared" si="7"/>
        <v>28.142857142857142</v>
      </c>
      <c r="G75" s="16">
        <f t="shared" si="8"/>
        <v>700</v>
      </c>
      <c r="H75" s="17">
        <f t="shared" si="9"/>
        <v>492.49999999999994</v>
      </c>
      <c r="I75" s="7"/>
    </row>
    <row r="76" spans="1:9" s="8" customFormat="1" ht="15">
      <c r="A76" s="6" t="s">
        <v>226</v>
      </c>
      <c r="B76" s="9" t="s">
        <v>11</v>
      </c>
      <c r="C76" s="9" t="s">
        <v>579</v>
      </c>
      <c r="D76" s="9">
        <v>19.7</v>
      </c>
      <c r="E76" s="15">
        <f t="shared" si="6"/>
        <v>16.28099173553719</v>
      </c>
      <c r="F76" s="15">
        <f t="shared" si="7"/>
        <v>28.142857142857142</v>
      </c>
      <c r="G76" s="16">
        <f t="shared" si="8"/>
        <v>700</v>
      </c>
      <c r="H76" s="17">
        <f t="shared" si="9"/>
        <v>492.49999999999994</v>
      </c>
      <c r="I76" s="7"/>
    </row>
    <row r="77" spans="1:9" s="8" customFormat="1" ht="15">
      <c r="A77" s="6" t="s">
        <v>227</v>
      </c>
      <c r="B77" s="9" t="s">
        <v>11</v>
      </c>
      <c r="C77" s="9" t="s">
        <v>580</v>
      </c>
      <c r="D77" s="9">
        <v>19.7</v>
      </c>
      <c r="E77" s="15">
        <f t="shared" si="6"/>
        <v>16.28099173553719</v>
      </c>
      <c r="F77" s="15">
        <f t="shared" si="7"/>
        <v>28.142857142857142</v>
      </c>
      <c r="G77" s="16">
        <f t="shared" si="8"/>
        <v>700</v>
      </c>
      <c r="H77" s="17">
        <f t="shared" si="9"/>
        <v>492.49999999999994</v>
      </c>
      <c r="I77" s="7"/>
    </row>
    <row r="78" spans="1:9" s="8" customFormat="1" ht="15">
      <c r="A78" s="6" t="s">
        <v>228</v>
      </c>
      <c r="B78" s="9" t="s">
        <v>11</v>
      </c>
      <c r="C78" s="9" t="s">
        <v>581</v>
      </c>
      <c r="D78" s="9">
        <v>19.7</v>
      </c>
      <c r="E78" s="15">
        <f t="shared" si="6"/>
        <v>16.28099173553719</v>
      </c>
      <c r="F78" s="15">
        <f t="shared" si="7"/>
        <v>28.142857142857142</v>
      </c>
      <c r="G78" s="16">
        <f t="shared" si="8"/>
        <v>700</v>
      </c>
      <c r="H78" s="17">
        <f t="shared" si="9"/>
        <v>492.49999999999994</v>
      </c>
      <c r="I78" s="7"/>
    </row>
    <row r="79" spans="1:9" s="8" customFormat="1" ht="15">
      <c r="A79" s="6" t="s">
        <v>229</v>
      </c>
      <c r="B79" s="9" t="s">
        <v>11</v>
      </c>
      <c r="C79" s="9" t="s">
        <v>582</v>
      </c>
      <c r="D79" s="9">
        <v>19.7</v>
      </c>
      <c r="E79" s="15">
        <f t="shared" si="6"/>
        <v>16.28099173553719</v>
      </c>
      <c r="F79" s="15">
        <f t="shared" si="7"/>
        <v>28.142857142857142</v>
      </c>
      <c r="G79" s="16">
        <f t="shared" si="8"/>
        <v>700</v>
      </c>
      <c r="H79" s="17">
        <f t="shared" si="9"/>
        <v>492.49999999999994</v>
      </c>
      <c r="I79" s="7"/>
    </row>
    <row r="80" spans="1:9" s="8" customFormat="1" ht="15">
      <c r="A80" s="6" t="s">
        <v>230</v>
      </c>
      <c r="B80" s="9" t="s">
        <v>782</v>
      </c>
      <c r="C80" s="9" t="s">
        <v>845</v>
      </c>
      <c r="D80" s="9">
        <v>19.7</v>
      </c>
      <c r="E80" s="15">
        <f t="shared" si="6"/>
        <v>16.28099173553719</v>
      </c>
      <c r="F80" s="15">
        <f t="shared" si="7"/>
        <v>28.142857142857142</v>
      </c>
      <c r="G80" s="16">
        <f t="shared" si="8"/>
        <v>700</v>
      </c>
      <c r="H80" s="17">
        <f t="shared" si="9"/>
        <v>492.49999999999994</v>
      </c>
      <c r="I80" s="7"/>
    </row>
    <row r="81" spans="1:9" s="8" customFormat="1" ht="15">
      <c r="A81" s="6" t="s">
        <v>231</v>
      </c>
      <c r="B81" s="9" t="s">
        <v>782</v>
      </c>
      <c r="C81" s="9" t="s">
        <v>846</v>
      </c>
      <c r="D81" s="9">
        <v>19.7</v>
      </c>
      <c r="E81" s="15">
        <f t="shared" si="6"/>
        <v>16.28099173553719</v>
      </c>
      <c r="F81" s="15">
        <f t="shared" si="7"/>
        <v>28.142857142857142</v>
      </c>
      <c r="G81" s="16">
        <f t="shared" si="8"/>
        <v>700</v>
      </c>
      <c r="H81" s="17">
        <f t="shared" si="9"/>
        <v>492.49999999999994</v>
      </c>
      <c r="I81" s="7"/>
    </row>
    <row r="82" spans="1:9" s="8" customFormat="1" ht="15">
      <c r="A82" s="6" t="s">
        <v>232</v>
      </c>
      <c r="B82" s="9" t="s">
        <v>782</v>
      </c>
      <c r="C82" s="9" t="s">
        <v>0</v>
      </c>
      <c r="D82" s="9">
        <v>19.7</v>
      </c>
      <c r="E82" s="15">
        <f t="shared" si="6"/>
        <v>16.28099173553719</v>
      </c>
      <c r="F82" s="15">
        <f t="shared" si="7"/>
        <v>28.142857142857142</v>
      </c>
      <c r="G82" s="16">
        <f t="shared" si="8"/>
        <v>700</v>
      </c>
      <c r="H82" s="17">
        <f t="shared" si="9"/>
        <v>492.49999999999994</v>
      </c>
      <c r="I82" s="7"/>
    </row>
    <row r="83" spans="1:9" s="8" customFormat="1" ht="15">
      <c r="A83" s="6" t="s">
        <v>233</v>
      </c>
      <c r="B83" s="9" t="s">
        <v>782</v>
      </c>
      <c r="C83" s="9" t="s">
        <v>1</v>
      </c>
      <c r="D83" s="9">
        <v>19.7</v>
      </c>
      <c r="E83" s="15">
        <f t="shared" si="6"/>
        <v>16.28099173553719</v>
      </c>
      <c r="F83" s="15">
        <f t="shared" si="7"/>
        <v>28.142857142857142</v>
      </c>
      <c r="G83" s="16">
        <f t="shared" si="8"/>
        <v>700</v>
      </c>
      <c r="H83" s="17">
        <f t="shared" si="9"/>
        <v>492.49999999999994</v>
      </c>
      <c r="I83" s="7"/>
    </row>
    <row r="84" spans="1:9" s="8" customFormat="1" ht="15">
      <c r="A84" s="6" t="s">
        <v>234</v>
      </c>
      <c r="B84" s="9" t="s">
        <v>782</v>
      </c>
      <c r="C84" s="9" t="s">
        <v>2</v>
      </c>
      <c r="D84" s="9">
        <v>19.7</v>
      </c>
      <c r="E84" s="15">
        <f t="shared" si="6"/>
        <v>16.28099173553719</v>
      </c>
      <c r="F84" s="15">
        <f t="shared" si="7"/>
        <v>28.142857142857142</v>
      </c>
      <c r="G84" s="16">
        <f t="shared" si="8"/>
        <v>700</v>
      </c>
      <c r="H84" s="17">
        <f t="shared" si="9"/>
        <v>492.49999999999994</v>
      </c>
      <c r="I84" s="7"/>
    </row>
    <row r="85" spans="1:9" s="8" customFormat="1" ht="15">
      <c r="A85" s="6" t="s">
        <v>235</v>
      </c>
      <c r="B85" s="9" t="s">
        <v>782</v>
      </c>
      <c r="C85" s="9" t="s">
        <v>3</v>
      </c>
      <c r="D85" s="9">
        <v>19.7</v>
      </c>
      <c r="E85" s="15">
        <f t="shared" si="6"/>
        <v>16.28099173553719</v>
      </c>
      <c r="F85" s="15">
        <f t="shared" si="7"/>
        <v>28.142857142857142</v>
      </c>
      <c r="G85" s="16">
        <f t="shared" si="8"/>
        <v>700</v>
      </c>
      <c r="H85" s="17">
        <f t="shared" si="9"/>
        <v>492.49999999999994</v>
      </c>
      <c r="I85" s="7"/>
    </row>
    <row r="86" spans="1:9" s="8" customFormat="1" ht="15">
      <c r="A86" s="6" t="s">
        <v>236</v>
      </c>
      <c r="B86" s="9" t="s">
        <v>782</v>
      </c>
      <c r="C86" s="9" t="s">
        <v>4</v>
      </c>
      <c r="D86" s="9">
        <v>19.7</v>
      </c>
      <c r="E86" s="15">
        <f t="shared" si="6"/>
        <v>16.28099173553719</v>
      </c>
      <c r="F86" s="15">
        <f t="shared" si="7"/>
        <v>28.142857142857142</v>
      </c>
      <c r="G86" s="16">
        <f t="shared" si="8"/>
        <v>700</v>
      </c>
      <c r="H86" s="17">
        <f t="shared" si="9"/>
        <v>492.49999999999994</v>
      </c>
      <c r="I86" s="7"/>
    </row>
    <row r="87" spans="1:9" s="8" customFormat="1" ht="15">
      <c r="A87" s="6" t="s">
        <v>237</v>
      </c>
      <c r="B87" s="9" t="s">
        <v>782</v>
      </c>
      <c r="C87" s="9" t="s">
        <v>5</v>
      </c>
      <c r="D87" s="9">
        <v>19.7</v>
      </c>
      <c r="E87" s="15">
        <f t="shared" si="6"/>
        <v>16.28099173553719</v>
      </c>
      <c r="F87" s="15">
        <f t="shared" si="7"/>
        <v>28.142857142857142</v>
      </c>
      <c r="G87" s="16">
        <f t="shared" si="8"/>
        <v>700</v>
      </c>
      <c r="H87" s="17">
        <f t="shared" si="9"/>
        <v>492.49999999999994</v>
      </c>
      <c r="I87" s="7"/>
    </row>
    <row r="88" spans="1:9" s="8" customFormat="1" ht="15">
      <c r="A88" s="6" t="s">
        <v>238</v>
      </c>
      <c r="B88" s="9" t="s">
        <v>782</v>
      </c>
      <c r="C88" s="9" t="s">
        <v>840</v>
      </c>
      <c r="D88" s="9">
        <v>19.7</v>
      </c>
      <c r="E88" s="15">
        <f t="shared" si="6"/>
        <v>16.28099173553719</v>
      </c>
      <c r="F88" s="15">
        <f t="shared" si="7"/>
        <v>28.142857142857142</v>
      </c>
      <c r="G88" s="16">
        <f t="shared" si="8"/>
        <v>700</v>
      </c>
      <c r="H88" s="17">
        <f t="shared" si="9"/>
        <v>492.49999999999994</v>
      </c>
      <c r="I88" s="7"/>
    </row>
    <row r="89" spans="1:9" s="8" customFormat="1" ht="15">
      <c r="A89" s="6" t="s">
        <v>239</v>
      </c>
      <c r="B89" s="9" t="s">
        <v>782</v>
      </c>
      <c r="C89" s="9" t="s">
        <v>841</v>
      </c>
      <c r="D89" s="9">
        <v>19.7</v>
      </c>
      <c r="E89" s="15">
        <f t="shared" si="6"/>
        <v>16.28099173553719</v>
      </c>
      <c r="F89" s="15">
        <f t="shared" si="7"/>
        <v>28.142857142857142</v>
      </c>
      <c r="G89" s="16">
        <f t="shared" si="8"/>
        <v>700</v>
      </c>
      <c r="H89" s="17">
        <f t="shared" si="9"/>
        <v>492.49999999999994</v>
      </c>
      <c r="I89" s="7"/>
    </row>
    <row r="90" spans="1:9" s="8" customFormat="1" ht="15">
      <c r="A90" s="6" t="s">
        <v>240</v>
      </c>
      <c r="B90" s="9" t="s">
        <v>782</v>
      </c>
      <c r="C90" s="9" t="s">
        <v>842</v>
      </c>
      <c r="D90" s="9">
        <v>19.7</v>
      </c>
      <c r="E90" s="15">
        <f t="shared" si="6"/>
        <v>16.28099173553719</v>
      </c>
      <c r="F90" s="15">
        <f t="shared" si="7"/>
        <v>28.142857142857142</v>
      </c>
      <c r="G90" s="16">
        <f t="shared" si="8"/>
        <v>700</v>
      </c>
      <c r="H90" s="17">
        <f t="shared" si="9"/>
        <v>492.49999999999994</v>
      </c>
      <c r="I90" s="7"/>
    </row>
    <row r="91" spans="1:9" s="8" customFormat="1" ht="15">
      <c r="A91" s="6" t="s">
        <v>241</v>
      </c>
      <c r="B91" s="9" t="s">
        <v>782</v>
      </c>
      <c r="C91" s="9" t="s">
        <v>843</v>
      </c>
      <c r="D91" s="9">
        <v>19.7</v>
      </c>
      <c r="E91" s="15">
        <f t="shared" si="6"/>
        <v>16.28099173553719</v>
      </c>
      <c r="F91" s="15">
        <f t="shared" si="7"/>
        <v>28.142857142857142</v>
      </c>
      <c r="G91" s="16">
        <f t="shared" si="8"/>
        <v>700</v>
      </c>
      <c r="H91" s="17">
        <f t="shared" si="9"/>
        <v>492.49999999999994</v>
      </c>
      <c r="I91" s="7"/>
    </row>
    <row r="92" spans="1:9" s="8" customFormat="1" ht="15">
      <c r="A92" s="6" t="s">
        <v>242</v>
      </c>
      <c r="B92" s="9" t="s">
        <v>782</v>
      </c>
      <c r="C92" s="9" t="s">
        <v>844</v>
      </c>
      <c r="D92" s="9">
        <v>19.7</v>
      </c>
      <c r="E92" s="15">
        <f t="shared" si="6"/>
        <v>16.28099173553719</v>
      </c>
      <c r="F92" s="15">
        <f t="shared" si="7"/>
        <v>28.142857142857142</v>
      </c>
      <c r="G92" s="16">
        <f t="shared" si="8"/>
        <v>700</v>
      </c>
      <c r="H92" s="17">
        <f t="shared" si="9"/>
        <v>492.49999999999994</v>
      </c>
      <c r="I92" s="7"/>
    </row>
    <row r="93" spans="1:9" s="8" customFormat="1" ht="15">
      <c r="A93" s="6" t="s">
        <v>244</v>
      </c>
      <c r="B93" s="9" t="s">
        <v>11</v>
      </c>
      <c r="C93" s="9" t="s">
        <v>584</v>
      </c>
      <c r="D93" s="9">
        <v>19.7</v>
      </c>
      <c r="E93" s="15">
        <f>D93/1.21</f>
        <v>16.28099173553719</v>
      </c>
      <c r="F93" s="15">
        <f aca="true" t="shared" si="10" ref="F93:F156">(E93/0.7)*1.21</f>
        <v>28.142857142857142</v>
      </c>
      <c r="G93" s="16">
        <f aca="true" t="shared" si="11" ref="G93:G156">ROUND((F93/1.21)*1.21*$I$1,-1)</f>
        <v>700</v>
      </c>
      <c r="H93" s="17">
        <f aca="true" t="shared" si="12" ref="H93:H156">(F93/1.21)*1.21*$I$1*0.7</f>
        <v>492.49999999999994</v>
      </c>
      <c r="I93" s="7"/>
    </row>
    <row r="94" spans="1:9" s="8" customFormat="1" ht="15">
      <c r="A94" s="6" t="s">
        <v>245</v>
      </c>
      <c r="B94" s="9" t="s">
        <v>11</v>
      </c>
      <c r="C94" s="9" t="s">
        <v>585</v>
      </c>
      <c r="D94" s="9">
        <v>19.7</v>
      </c>
      <c r="E94" s="15">
        <f>D94/1.21</f>
        <v>16.28099173553719</v>
      </c>
      <c r="F94" s="15">
        <f t="shared" si="10"/>
        <v>28.142857142857142</v>
      </c>
      <c r="G94" s="16">
        <f t="shared" si="11"/>
        <v>700</v>
      </c>
      <c r="H94" s="17">
        <f t="shared" si="12"/>
        <v>492.49999999999994</v>
      </c>
      <c r="I94" s="7"/>
    </row>
    <row r="95" spans="1:9" s="8" customFormat="1" ht="15">
      <c r="A95" s="6" t="s">
        <v>246</v>
      </c>
      <c r="B95" s="9" t="s">
        <v>11</v>
      </c>
      <c r="C95" s="9" t="s">
        <v>586</v>
      </c>
      <c r="D95" s="9">
        <v>19.7</v>
      </c>
      <c r="E95" s="15">
        <f>D95/1.21</f>
        <v>16.28099173553719</v>
      </c>
      <c r="F95" s="15">
        <f t="shared" si="10"/>
        <v>28.142857142857142</v>
      </c>
      <c r="G95" s="16">
        <f t="shared" si="11"/>
        <v>700</v>
      </c>
      <c r="H95" s="17">
        <f t="shared" si="12"/>
        <v>492.49999999999994</v>
      </c>
      <c r="I95" s="7"/>
    </row>
    <row r="96" spans="1:9" s="8" customFormat="1" ht="15">
      <c r="A96" s="6" t="s">
        <v>247</v>
      </c>
      <c r="B96" s="9" t="s">
        <v>11</v>
      </c>
      <c r="C96" s="9" t="s">
        <v>587</v>
      </c>
      <c r="D96" s="9">
        <v>19.7</v>
      </c>
      <c r="E96" s="15">
        <f>D96/1.21</f>
        <v>16.28099173553719</v>
      </c>
      <c r="F96" s="15">
        <f t="shared" si="10"/>
        <v>28.142857142857142</v>
      </c>
      <c r="G96" s="16">
        <f t="shared" si="11"/>
        <v>700</v>
      </c>
      <c r="H96" s="17">
        <f t="shared" si="12"/>
        <v>492.49999999999994</v>
      </c>
      <c r="I96" s="7"/>
    </row>
    <row r="97" spans="1:9" s="8" customFormat="1" ht="15">
      <c r="A97" s="6" t="s">
        <v>243</v>
      </c>
      <c r="B97" s="9" t="s">
        <v>11</v>
      </c>
      <c r="C97" s="9" t="s">
        <v>583</v>
      </c>
      <c r="D97" s="9">
        <v>19.7</v>
      </c>
      <c r="E97" s="15">
        <f>D97/1.21</f>
        <v>16.28099173553719</v>
      </c>
      <c r="F97" s="15">
        <f t="shared" si="10"/>
        <v>28.142857142857142</v>
      </c>
      <c r="G97" s="16">
        <f t="shared" si="11"/>
        <v>700</v>
      </c>
      <c r="H97" s="17">
        <f t="shared" si="12"/>
        <v>492.49999999999994</v>
      </c>
      <c r="I97" s="7"/>
    </row>
    <row r="98" spans="1:9" s="8" customFormat="1" ht="15">
      <c r="A98" s="6" t="s">
        <v>543</v>
      </c>
      <c r="B98" s="9" t="s">
        <v>10</v>
      </c>
      <c r="C98" s="9" t="s">
        <v>547</v>
      </c>
      <c r="D98" s="9">
        <v>50.81</v>
      </c>
      <c r="E98" s="15">
        <f aca="true" t="shared" si="13" ref="E98:E161">D98/1.21</f>
        <v>41.99173553719009</v>
      </c>
      <c r="F98" s="15">
        <f t="shared" si="10"/>
        <v>72.5857142857143</v>
      </c>
      <c r="G98" s="16">
        <f t="shared" si="11"/>
        <v>1810</v>
      </c>
      <c r="H98" s="17">
        <f t="shared" si="12"/>
        <v>1270.2500000000002</v>
      </c>
      <c r="I98" s="7"/>
    </row>
    <row r="99" spans="1:9" s="8" customFormat="1" ht="15" hidden="1">
      <c r="A99" s="6" t="s">
        <v>544</v>
      </c>
      <c r="B99" s="9" t="s">
        <v>10</v>
      </c>
      <c r="C99" s="9" t="s">
        <v>548</v>
      </c>
      <c r="D99" s="9">
        <v>52.95</v>
      </c>
      <c r="E99" s="15">
        <f t="shared" si="13"/>
        <v>43.7603305785124</v>
      </c>
      <c r="F99" s="15">
        <f t="shared" si="10"/>
        <v>75.64285714285715</v>
      </c>
      <c r="G99" s="16">
        <f t="shared" si="11"/>
        <v>1890</v>
      </c>
      <c r="H99" s="17">
        <f t="shared" si="12"/>
        <v>1323.7500000000002</v>
      </c>
      <c r="I99" s="7"/>
    </row>
    <row r="100" spans="1:9" s="8" customFormat="1" ht="15" hidden="1">
      <c r="A100" s="6" t="s">
        <v>545</v>
      </c>
      <c r="B100" s="9" t="s">
        <v>10</v>
      </c>
      <c r="C100" s="9" t="s">
        <v>549</v>
      </c>
      <c r="D100" s="9">
        <v>72.59</v>
      </c>
      <c r="E100" s="15">
        <f t="shared" si="13"/>
        <v>59.99173553719009</v>
      </c>
      <c r="F100" s="15">
        <f t="shared" si="10"/>
        <v>103.70000000000002</v>
      </c>
      <c r="G100" s="16">
        <f t="shared" si="11"/>
        <v>2590</v>
      </c>
      <c r="H100" s="17">
        <f t="shared" si="12"/>
        <v>1814.7500000000002</v>
      </c>
      <c r="I100" s="7"/>
    </row>
    <row r="101" spans="1:9" s="8" customFormat="1" ht="15" hidden="1">
      <c r="A101" s="7" t="s">
        <v>48</v>
      </c>
      <c r="B101" s="7" t="s">
        <v>605</v>
      </c>
      <c r="C101" s="7" t="s">
        <v>49</v>
      </c>
      <c r="D101" s="7"/>
      <c r="E101" s="15">
        <f t="shared" si="13"/>
        <v>0</v>
      </c>
      <c r="F101" s="15">
        <f t="shared" si="10"/>
        <v>0</v>
      </c>
      <c r="G101" s="16">
        <f t="shared" si="11"/>
        <v>0</v>
      </c>
      <c r="H101" s="17">
        <f t="shared" si="12"/>
        <v>0</v>
      </c>
      <c r="I101" s="7"/>
    </row>
    <row r="102" spans="1:9" s="8" customFormat="1" ht="15" hidden="1">
      <c r="A102" s="6" t="s">
        <v>248</v>
      </c>
      <c r="B102" s="9" t="s">
        <v>605</v>
      </c>
      <c r="C102" s="9" t="s">
        <v>772</v>
      </c>
      <c r="D102" s="9"/>
      <c r="E102" s="15">
        <f t="shared" si="13"/>
        <v>0</v>
      </c>
      <c r="F102" s="15">
        <f t="shared" si="10"/>
        <v>0</v>
      </c>
      <c r="G102" s="16">
        <f t="shared" si="11"/>
        <v>0</v>
      </c>
      <c r="H102" s="17">
        <f t="shared" si="12"/>
        <v>0</v>
      </c>
      <c r="I102" s="7"/>
    </row>
    <row r="103" spans="1:9" s="8" customFormat="1" ht="15" hidden="1">
      <c r="A103" s="7" t="s">
        <v>50</v>
      </c>
      <c r="B103" s="7" t="s">
        <v>605</v>
      </c>
      <c r="C103" s="7" t="s">
        <v>51</v>
      </c>
      <c r="D103" s="7"/>
      <c r="E103" s="15">
        <f t="shared" si="13"/>
        <v>0</v>
      </c>
      <c r="F103" s="15">
        <f t="shared" si="10"/>
        <v>0</v>
      </c>
      <c r="G103" s="16">
        <f t="shared" si="11"/>
        <v>0</v>
      </c>
      <c r="H103" s="17">
        <f t="shared" si="12"/>
        <v>0</v>
      </c>
      <c r="I103" s="7"/>
    </row>
    <row r="104" spans="1:9" s="8" customFormat="1" ht="15" hidden="1">
      <c r="A104" s="7" t="s">
        <v>52</v>
      </c>
      <c r="B104" s="7" t="s">
        <v>605</v>
      </c>
      <c r="C104" s="7" t="s">
        <v>53</v>
      </c>
      <c r="D104" s="7"/>
      <c r="E104" s="15">
        <f t="shared" si="13"/>
        <v>0</v>
      </c>
      <c r="F104" s="15">
        <f t="shared" si="10"/>
        <v>0</v>
      </c>
      <c r="G104" s="16">
        <f t="shared" si="11"/>
        <v>0</v>
      </c>
      <c r="H104" s="17">
        <f t="shared" si="12"/>
        <v>0</v>
      </c>
      <c r="I104" s="7"/>
    </row>
    <row r="105" spans="1:9" s="8" customFormat="1" ht="15" hidden="1">
      <c r="A105" s="7" t="s">
        <v>54</v>
      </c>
      <c r="B105" s="7" t="s">
        <v>605</v>
      </c>
      <c r="C105" s="7" t="s">
        <v>55</v>
      </c>
      <c r="D105" s="7"/>
      <c r="E105" s="15">
        <f t="shared" si="13"/>
        <v>0</v>
      </c>
      <c r="F105" s="15">
        <f t="shared" si="10"/>
        <v>0</v>
      </c>
      <c r="G105" s="16">
        <f t="shared" si="11"/>
        <v>0</v>
      </c>
      <c r="H105" s="17">
        <f t="shared" si="12"/>
        <v>0</v>
      </c>
      <c r="I105" s="7"/>
    </row>
    <row r="106" spans="1:9" s="8" customFormat="1" ht="15" hidden="1">
      <c r="A106" s="7" t="s">
        <v>868</v>
      </c>
      <c r="B106" s="9" t="s">
        <v>605</v>
      </c>
      <c r="C106" s="9" t="s">
        <v>869</v>
      </c>
      <c r="D106" s="9"/>
      <c r="E106" s="15">
        <f t="shared" si="13"/>
        <v>0</v>
      </c>
      <c r="F106" s="15">
        <f t="shared" si="10"/>
        <v>0</v>
      </c>
      <c r="G106" s="16">
        <f t="shared" si="11"/>
        <v>0</v>
      </c>
      <c r="H106" s="17">
        <f t="shared" si="12"/>
        <v>0</v>
      </c>
      <c r="I106" s="7"/>
    </row>
    <row r="107" spans="1:9" s="8" customFormat="1" ht="15" hidden="1">
      <c r="A107" s="7" t="s">
        <v>29</v>
      </c>
      <c r="B107" s="9" t="s">
        <v>605</v>
      </c>
      <c r="C107" s="9" t="s">
        <v>43</v>
      </c>
      <c r="D107" s="9"/>
      <c r="E107" s="15">
        <f t="shared" si="13"/>
        <v>0</v>
      </c>
      <c r="F107" s="15">
        <f t="shared" si="10"/>
        <v>0</v>
      </c>
      <c r="G107" s="16">
        <f t="shared" si="11"/>
        <v>0</v>
      </c>
      <c r="H107" s="17">
        <f t="shared" si="12"/>
        <v>0</v>
      </c>
      <c r="I107" s="7"/>
    </row>
    <row r="108" spans="1:9" s="8" customFormat="1" ht="15" hidden="1">
      <c r="A108" s="7" t="s">
        <v>30</v>
      </c>
      <c r="B108" s="9" t="s">
        <v>605</v>
      </c>
      <c r="C108" s="9" t="s">
        <v>44</v>
      </c>
      <c r="D108" s="9"/>
      <c r="E108" s="15">
        <f t="shared" si="13"/>
        <v>0</v>
      </c>
      <c r="F108" s="15">
        <f t="shared" si="10"/>
        <v>0</v>
      </c>
      <c r="G108" s="16">
        <f t="shared" si="11"/>
        <v>0</v>
      </c>
      <c r="H108" s="17">
        <f t="shared" si="12"/>
        <v>0</v>
      </c>
      <c r="I108" s="7"/>
    </row>
    <row r="109" spans="1:9" s="8" customFormat="1" ht="15" hidden="1">
      <c r="A109" s="7" t="s">
        <v>39</v>
      </c>
      <c r="B109" s="9" t="s">
        <v>605</v>
      </c>
      <c r="C109" s="9" t="s">
        <v>45</v>
      </c>
      <c r="D109" s="9"/>
      <c r="E109" s="15">
        <f t="shared" si="13"/>
        <v>0</v>
      </c>
      <c r="F109" s="15">
        <f t="shared" si="10"/>
        <v>0</v>
      </c>
      <c r="G109" s="16">
        <f t="shared" si="11"/>
        <v>0</v>
      </c>
      <c r="H109" s="17">
        <f t="shared" si="12"/>
        <v>0</v>
      </c>
      <c r="I109" s="7"/>
    </row>
    <row r="110" spans="1:9" s="8" customFormat="1" ht="15" hidden="1">
      <c r="A110" s="6" t="s">
        <v>249</v>
      </c>
      <c r="B110" s="9" t="s">
        <v>605</v>
      </c>
      <c r="C110" s="9" t="s">
        <v>773</v>
      </c>
      <c r="D110" s="9"/>
      <c r="E110" s="15">
        <f t="shared" si="13"/>
        <v>0</v>
      </c>
      <c r="F110" s="15">
        <f t="shared" si="10"/>
        <v>0</v>
      </c>
      <c r="G110" s="16">
        <f t="shared" si="11"/>
        <v>0</v>
      </c>
      <c r="H110" s="17">
        <f t="shared" si="12"/>
        <v>0</v>
      </c>
      <c r="I110" s="7"/>
    </row>
    <row r="111" spans="1:9" s="8" customFormat="1" ht="15" hidden="1">
      <c r="A111" s="6" t="s">
        <v>250</v>
      </c>
      <c r="B111" s="9" t="s">
        <v>605</v>
      </c>
      <c r="C111" s="9" t="s">
        <v>774</v>
      </c>
      <c r="D111" s="9"/>
      <c r="E111" s="15">
        <f t="shared" si="13"/>
        <v>0</v>
      </c>
      <c r="F111" s="15">
        <f t="shared" si="10"/>
        <v>0</v>
      </c>
      <c r="G111" s="16">
        <f t="shared" si="11"/>
        <v>0</v>
      </c>
      <c r="H111" s="17">
        <f t="shared" si="12"/>
        <v>0</v>
      </c>
      <c r="I111" s="7"/>
    </row>
    <row r="112" spans="1:9" s="8" customFormat="1" ht="15" hidden="1">
      <c r="A112" s="6" t="s">
        <v>251</v>
      </c>
      <c r="B112" s="9" t="s">
        <v>605</v>
      </c>
      <c r="C112" s="9" t="s">
        <v>775</v>
      </c>
      <c r="D112" s="9"/>
      <c r="E112" s="15">
        <f t="shared" si="13"/>
        <v>0</v>
      </c>
      <c r="F112" s="15">
        <f t="shared" si="10"/>
        <v>0</v>
      </c>
      <c r="G112" s="16">
        <f t="shared" si="11"/>
        <v>0</v>
      </c>
      <c r="H112" s="17">
        <f t="shared" si="12"/>
        <v>0</v>
      </c>
      <c r="I112" s="7"/>
    </row>
    <row r="113" spans="1:9" s="8" customFormat="1" ht="15" hidden="1">
      <c r="A113" s="6" t="s">
        <v>252</v>
      </c>
      <c r="B113" s="9" t="s">
        <v>605</v>
      </c>
      <c r="C113" s="9" t="s">
        <v>776</v>
      </c>
      <c r="D113" s="9"/>
      <c r="E113" s="15">
        <f t="shared" si="13"/>
        <v>0</v>
      </c>
      <c r="F113" s="15">
        <f t="shared" si="10"/>
        <v>0</v>
      </c>
      <c r="G113" s="16">
        <f t="shared" si="11"/>
        <v>0</v>
      </c>
      <c r="H113" s="17">
        <f t="shared" si="12"/>
        <v>0</v>
      </c>
      <c r="I113" s="7"/>
    </row>
    <row r="114" spans="1:9" s="8" customFormat="1" ht="15" hidden="1">
      <c r="A114" s="6" t="s">
        <v>253</v>
      </c>
      <c r="B114" s="9" t="s">
        <v>605</v>
      </c>
      <c r="C114" s="9" t="s">
        <v>777</v>
      </c>
      <c r="D114" s="9"/>
      <c r="E114" s="15">
        <f t="shared" si="13"/>
        <v>0</v>
      </c>
      <c r="F114" s="15">
        <f t="shared" si="10"/>
        <v>0</v>
      </c>
      <c r="G114" s="16">
        <f t="shared" si="11"/>
        <v>0</v>
      </c>
      <c r="H114" s="17">
        <f t="shared" si="12"/>
        <v>0</v>
      </c>
      <c r="I114" s="7"/>
    </row>
    <row r="115" spans="1:9" s="8" customFormat="1" ht="15" hidden="1">
      <c r="A115" s="6" t="s">
        <v>254</v>
      </c>
      <c r="B115" s="9" t="s">
        <v>605</v>
      </c>
      <c r="C115" s="9" t="s">
        <v>778</v>
      </c>
      <c r="D115" s="9"/>
      <c r="E115" s="15">
        <f t="shared" si="13"/>
        <v>0</v>
      </c>
      <c r="F115" s="15">
        <f t="shared" si="10"/>
        <v>0</v>
      </c>
      <c r="G115" s="16">
        <f t="shared" si="11"/>
        <v>0</v>
      </c>
      <c r="H115" s="17">
        <f t="shared" si="12"/>
        <v>0</v>
      </c>
      <c r="I115" s="7"/>
    </row>
    <row r="116" spans="1:9" s="8" customFormat="1" ht="15" hidden="1">
      <c r="A116" s="6" t="s">
        <v>980</v>
      </c>
      <c r="B116" s="9" t="s">
        <v>604</v>
      </c>
      <c r="C116" s="9" t="s">
        <v>989</v>
      </c>
      <c r="D116" s="9"/>
      <c r="E116" s="15">
        <f t="shared" si="13"/>
        <v>0</v>
      </c>
      <c r="F116" s="15">
        <f t="shared" si="10"/>
        <v>0</v>
      </c>
      <c r="G116" s="16">
        <f t="shared" si="11"/>
        <v>0</v>
      </c>
      <c r="H116" s="17">
        <f t="shared" si="12"/>
        <v>0</v>
      </c>
      <c r="I116" s="18"/>
    </row>
    <row r="117" spans="1:9" s="8" customFormat="1" ht="15" hidden="1">
      <c r="A117" s="6" t="s">
        <v>255</v>
      </c>
      <c r="B117" s="9" t="s">
        <v>604</v>
      </c>
      <c r="C117" s="9" t="s">
        <v>714</v>
      </c>
      <c r="D117" s="9"/>
      <c r="E117" s="15">
        <f t="shared" si="13"/>
        <v>0</v>
      </c>
      <c r="F117" s="15">
        <f t="shared" si="10"/>
        <v>0</v>
      </c>
      <c r="G117" s="16">
        <f t="shared" si="11"/>
        <v>0</v>
      </c>
      <c r="H117" s="17">
        <f t="shared" si="12"/>
        <v>0</v>
      </c>
      <c r="I117" s="7"/>
    </row>
    <row r="118" spans="1:9" s="8" customFormat="1" ht="15" hidden="1">
      <c r="A118" s="6" t="s">
        <v>256</v>
      </c>
      <c r="B118" s="9" t="s">
        <v>604</v>
      </c>
      <c r="C118" s="9" t="s">
        <v>715</v>
      </c>
      <c r="D118" s="9"/>
      <c r="E118" s="15">
        <f t="shared" si="13"/>
        <v>0</v>
      </c>
      <c r="F118" s="15">
        <f t="shared" si="10"/>
        <v>0</v>
      </c>
      <c r="G118" s="16">
        <f t="shared" si="11"/>
        <v>0</v>
      </c>
      <c r="H118" s="17">
        <f t="shared" si="12"/>
        <v>0</v>
      </c>
      <c r="I118" s="7"/>
    </row>
    <row r="119" spans="1:9" s="8" customFormat="1" ht="15" hidden="1">
      <c r="A119" s="6" t="s">
        <v>987</v>
      </c>
      <c r="B119" s="9" t="s">
        <v>604</v>
      </c>
      <c r="C119" s="9" t="s">
        <v>988</v>
      </c>
      <c r="D119" s="9"/>
      <c r="E119" s="15">
        <f t="shared" si="13"/>
        <v>0</v>
      </c>
      <c r="F119" s="15">
        <f t="shared" si="10"/>
        <v>0</v>
      </c>
      <c r="G119" s="16">
        <f t="shared" si="11"/>
        <v>0</v>
      </c>
      <c r="H119" s="17">
        <f t="shared" si="12"/>
        <v>0</v>
      </c>
      <c r="I119" s="10"/>
    </row>
    <row r="120" spans="1:9" s="8" customFormat="1" ht="15" hidden="1">
      <c r="A120" s="6" t="s">
        <v>983</v>
      </c>
      <c r="B120" s="9" t="s">
        <v>604</v>
      </c>
      <c r="C120" s="9" t="s">
        <v>984</v>
      </c>
      <c r="D120" s="9"/>
      <c r="E120" s="15">
        <f t="shared" si="13"/>
        <v>0</v>
      </c>
      <c r="F120" s="15">
        <f t="shared" si="10"/>
        <v>0</v>
      </c>
      <c r="G120" s="16">
        <f t="shared" si="11"/>
        <v>0</v>
      </c>
      <c r="H120" s="17">
        <f t="shared" si="12"/>
        <v>0</v>
      </c>
      <c r="I120" s="10"/>
    </row>
    <row r="121" spans="1:9" s="8" customFormat="1" ht="15" hidden="1">
      <c r="A121" s="6" t="s">
        <v>257</v>
      </c>
      <c r="B121" s="9" t="s">
        <v>604</v>
      </c>
      <c r="C121" s="9" t="s">
        <v>716</v>
      </c>
      <c r="D121" s="9"/>
      <c r="E121" s="15">
        <f t="shared" si="13"/>
        <v>0</v>
      </c>
      <c r="F121" s="15">
        <f t="shared" si="10"/>
        <v>0</v>
      </c>
      <c r="G121" s="16">
        <f t="shared" si="11"/>
        <v>0</v>
      </c>
      <c r="H121" s="17">
        <f t="shared" si="12"/>
        <v>0</v>
      </c>
      <c r="I121" s="7"/>
    </row>
    <row r="122" spans="1:9" s="8" customFormat="1" ht="15" hidden="1">
      <c r="A122" s="6" t="s">
        <v>258</v>
      </c>
      <c r="B122" s="9" t="s">
        <v>604</v>
      </c>
      <c r="C122" s="9" t="s">
        <v>717</v>
      </c>
      <c r="D122" s="9"/>
      <c r="E122" s="15">
        <f t="shared" si="13"/>
        <v>0</v>
      </c>
      <c r="F122" s="15">
        <f t="shared" si="10"/>
        <v>0</v>
      </c>
      <c r="G122" s="16">
        <f t="shared" si="11"/>
        <v>0</v>
      </c>
      <c r="H122" s="17">
        <f t="shared" si="12"/>
        <v>0</v>
      </c>
      <c r="I122" s="7"/>
    </row>
    <row r="123" spans="1:9" s="8" customFormat="1" ht="15" hidden="1">
      <c r="A123" s="6" t="s">
        <v>985</v>
      </c>
      <c r="B123" s="9" t="s">
        <v>604</v>
      </c>
      <c r="C123" s="9" t="s">
        <v>986</v>
      </c>
      <c r="D123" s="9"/>
      <c r="E123" s="15">
        <f t="shared" si="13"/>
        <v>0</v>
      </c>
      <c r="F123" s="15">
        <f t="shared" si="10"/>
        <v>0</v>
      </c>
      <c r="G123" s="16">
        <f t="shared" si="11"/>
        <v>0</v>
      </c>
      <c r="H123" s="17">
        <f t="shared" si="12"/>
        <v>0</v>
      </c>
      <c r="I123" s="10"/>
    </row>
    <row r="124" spans="1:9" s="8" customFormat="1" ht="15" hidden="1">
      <c r="A124" s="6" t="s">
        <v>981</v>
      </c>
      <c r="B124" s="9" t="s">
        <v>604</v>
      </c>
      <c r="C124" s="9" t="s">
        <v>982</v>
      </c>
      <c r="D124" s="9"/>
      <c r="E124" s="15">
        <f t="shared" si="13"/>
        <v>0</v>
      </c>
      <c r="F124" s="15">
        <f t="shared" si="10"/>
        <v>0</v>
      </c>
      <c r="G124" s="16">
        <f t="shared" si="11"/>
        <v>0</v>
      </c>
      <c r="H124" s="17">
        <f t="shared" si="12"/>
        <v>0</v>
      </c>
      <c r="I124" s="10"/>
    </row>
    <row r="125" spans="1:9" s="8" customFormat="1" ht="15" hidden="1">
      <c r="A125" s="6" t="s">
        <v>259</v>
      </c>
      <c r="B125" s="9" t="s">
        <v>604</v>
      </c>
      <c r="C125" s="9" t="s">
        <v>589</v>
      </c>
      <c r="D125" s="9"/>
      <c r="E125" s="15">
        <f t="shared" si="13"/>
        <v>0</v>
      </c>
      <c r="F125" s="15">
        <f t="shared" si="10"/>
        <v>0</v>
      </c>
      <c r="G125" s="16">
        <f t="shared" si="11"/>
        <v>0</v>
      </c>
      <c r="H125" s="17">
        <f t="shared" si="12"/>
        <v>0</v>
      </c>
      <c r="I125" s="7"/>
    </row>
    <row r="126" spans="1:9" s="8" customFormat="1" ht="15" hidden="1">
      <c r="A126" s="6" t="s">
        <v>260</v>
      </c>
      <c r="B126" s="9" t="s">
        <v>604</v>
      </c>
      <c r="C126" s="9" t="s">
        <v>590</v>
      </c>
      <c r="D126" s="9"/>
      <c r="E126" s="15">
        <f t="shared" si="13"/>
        <v>0</v>
      </c>
      <c r="F126" s="15">
        <f t="shared" si="10"/>
        <v>0</v>
      </c>
      <c r="G126" s="16">
        <f t="shared" si="11"/>
        <v>0</v>
      </c>
      <c r="H126" s="17">
        <f t="shared" si="12"/>
        <v>0</v>
      </c>
      <c r="I126" s="7"/>
    </row>
    <row r="127" spans="1:9" s="8" customFormat="1" ht="15" hidden="1">
      <c r="A127" s="6" t="s">
        <v>261</v>
      </c>
      <c r="B127" s="9" t="s">
        <v>604</v>
      </c>
      <c r="C127" s="9" t="s">
        <v>591</v>
      </c>
      <c r="D127" s="9"/>
      <c r="E127" s="15">
        <f t="shared" si="13"/>
        <v>0</v>
      </c>
      <c r="F127" s="15">
        <f t="shared" si="10"/>
        <v>0</v>
      </c>
      <c r="G127" s="16">
        <f t="shared" si="11"/>
        <v>0</v>
      </c>
      <c r="H127" s="17">
        <f t="shared" si="12"/>
        <v>0</v>
      </c>
      <c r="I127" s="7"/>
    </row>
    <row r="128" spans="1:9" s="8" customFormat="1" ht="15" hidden="1">
      <c r="A128" s="6" t="s">
        <v>262</v>
      </c>
      <c r="B128" s="9" t="s">
        <v>604</v>
      </c>
      <c r="C128" s="9" t="s">
        <v>592</v>
      </c>
      <c r="D128" s="9"/>
      <c r="E128" s="15">
        <f t="shared" si="13"/>
        <v>0</v>
      </c>
      <c r="F128" s="15">
        <f t="shared" si="10"/>
        <v>0</v>
      </c>
      <c r="G128" s="16">
        <f t="shared" si="11"/>
        <v>0</v>
      </c>
      <c r="H128" s="17">
        <f t="shared" si="12"/>
        <v>0</v>
      </c>
      <c r="I128" s="7"/>
    </row>
    <row r="129" spans="1:9" s="8" customFormat="1" ht="15" hidden="1">
      <c r="A129" s="6" t="s">
        <v>263</v>
      </c>
      <c r="B129" s="9" t="s">
        <v>604</v>
      </c>
      <c r="C129" s="9" t="s">
        <v>718</v>
      </c>
      <c r="D129" s="9"/>
      <c r="E129" s="15">
        <f t="shared" si="13"/>
        <v>0</v>
      </c>
      <c r="F129" s="15">
        <f t="shared" si="10"/>
        <v>0</v>
      </c>
      <c r="G129" s="16">
        <f t="shared" si="11"/>
        <v>0</v>
      </c>
      <c r="H129" s="17">
        <f t="shared" si="12"/>
        <v>0</v>
      </c>
      <c r="I129" s="7"/>
    </row>
    <row r="130" spans="1:9" s="8" customFormat="1" ht="15" hidden="1">
      <c r="A130" s="6" t="s">
        <v>264</v>
      </c>
      <c r="B130" s="9" t="s">
        <v>604</v>
      </c>
      <c r="C130" s="9" t="s">
        <v>719</v>
      </c>
      <c r="D130" s="9"/>
      <c r="E130" s="15">
        <f t="shared" si="13"/>
        <v>0</v>
      </c>
      <c r="F130" s="15">
        <f t="shared" si="10"/>
        <v>0</v>
      </c>
      <c r="G130" s="16">
        <f t="shared" si="11"/>
        <v>0</v>
      </c>
      <c r="H130" s="17">
        <f t="shared" si="12"/>
        <v>0</v>
      </c>
      <c r="I130" s="7"/>
    </row>
    <row r="131" spans="1:9" s="8" customFormat="1" ht="15" hidden="1">
      <c r="A131" s="6" t="s">
        <v>265</v>
      </c>
      <c r="B131" s="9" t="s">
        <v>604</v>
      </c>
      <c r="C131" s="9" t="s">
        <v>720</v>
      </c>
      <c r="D131" s="9"/>
      <c r="E131" s="15">
        <f t="shared" si="13"/>
        <v>0</v>
      </c>
      <c r="F131" s="15">
        <f t="shared" si="10"/>
        <v>0</v>
      </c>
      <c r="G131" s="16">
        <f t="shared" si="11"/>
        <v>0</v>
      </c>
      <c r="H131" s="17">
        <f t="shared" si="12"/>
        <v>0</v>
      </c>
      <c r="I131" s="7"/>
    </row>
    <row r="132" spans="1:9" s="8" customFormat="1" ht="15" hidden="1">
      <c r="A132" s="6" t="s">
        <v>266</v>
      </c>
      <c r="B132" s="9" t="s">
        <v>604</v>
      </c>
      <c r="C132" s="9" t="s">
        <v>721</v>
      </c>
      <c r="D132" s="9"/>
      <c r="E132" s="15">
        <f t="shared" si="13"/>
        <v>0</v>
      </c>
      <c r="F132" s="15">
        <f t="shared" si="10"/>
        <v>0</v>
      </c>
      <c r="G132" s="16">
        <f t="shared" si="11"/>
        <v>0</v>
      </c>
      <c r="H132" s="17">
        <f t="shared" si="12"/>
        <v>0</v>
      </c>
      <c r="I132" s="7"/>
    </row>
    <row r="133" spans="1:9" s="8" customFormat="1" ht="15" hidden="1">
      <c r="A133" s="6" t="s">
        <v>267</v>
      </c>
      <c r="B133" s="9" t="s">
        <v>604</v>
      </c>
      <c r="C133" s="9" t="s">
        <v>722</v>
      </c>
      <c r="D133" s="9"/>
      <c r="E133" s="15">
        <f t="shared" si="13"/>
        <v>0</v>
      </c>
      <c r="F133" s="15">
        <f t="shared" si="10"/>
        <v>0</v>
      </c>
      <c r="G133" s="16">
        <f t="shared" si="11"/>
        <v>0</v>
      </c>
      <c r="H133" s="17">
        <f t="shared" si="12"/>
        <v>0</v>
      </c>
      <c r="I133" s="7"/>
    </row>
    <row r="134" spans="1:9" s="8" customFormat="1" ht="15" hidden="1">
      <c r="A134" s="6" t="s">
        <v>268</v>
      </c>
      <c r="B134" s="9" t="s">
        <v>604</v>
      </c>
      <c r="C134" s="9" t="s">
        <v>723</v>
      </c>
      <c r="D134" s="9"/>
      <c r="E134" s="15">
        <f t="shared" si="13"/>
        <v>0</v>
      </c>
      <c r="F134" s="15">
        <f t="shared" si="10"/>
        <v>0</v>
      </c>
      <c r="G134" s="16">
        <f t="shared" si="11"/>
        <v>0</v>
      </c>
      <c r="H134" s="17">
        <f t="shared" si="12"/>
        <v>0</v>
      </c>
      <c r="I134" s="7"/>
    </row>
    <row r="135" spans="1:9" s="8" customFormat="1" ht="15" hidden="1">
      <c r="A135" s="6" t="s">
        <v>269</v>
      </c>
      <c r="B135" s="9" t="s">
        <v>604</v>
      </c>
      <c r="C135" s="9" t="s">
        <v>724</v>
      </c>
      <c r="D135" s="9"/>
      <c r="E135" s="15">
        <f t="shared" si="13"/>
        <v>0</v>
      </c>
      <c r="F135" s="15">
        <f t="shared" si="10"/>
        <v>0</v>
      </c>
      <c r="G135" s="16">
        <f t="shared" si="11"/>
        <v>0</v>
      </c>
      <c r="H135" s="17">
        <f t="shared" si="12"/>
        <v>0</v>
      </c>
      <c r="I135" s="7"/>
    </row>
    <row r="136" spans="1:9" s="8" customFormat="1" ht="15" hidden="1">
      <c r="A136" s="6" t="s">
        <v>270</v>
      </c>
      <c r="B136" s="9" t="s">
        <v>604</v>
      </c>
      <c r="C136" s="9" t="s">
        <v>725</v>
      </c>
      <c r="D136" s="9"/>
      <c r="E136" s="15">
        <f t="shared" si="13"/>
        <v>0</v>
      </c>
      <c r="F136" s="15">
        <f t="shared" si="10"/>
        <v>0</v>
      </c>
      <c r="G136" s="16">
        <f t="shared" si="11"/>
        <v>0</v>
      </c>
      <c r="H136" s="17">
        <f t="shared" si="12"/>
        <v>0</v>
      </c>
      <c r="I136" s="7"/>
    </row>
    <row r="137" spans="1:9" s="8" customFormat="1" ht="15" hidden="1">
      <c r="A137" s="6" t="s">
        <v>271</v>
      </c>
      <c r="B137" s="9" t="s">
        <v>604</v>
      </c>
      <c r="C137" s="9" t="s">
        <v>726</v>
      </c>
      <c r="D137" s="9"/>
      <c r="E137" s="15">
        <f t="shared" si="13"/>
        <v>0</v>
      </c>
      <c r="F137" s="15">
        <f t="shared" si="10"/>
        <v>0</v>
      </c>
      <c r="G137" s="16">
        <f t="shared" si="11"/>
        <v>0</v>
      </c>
      <c r="H137" s="17">
        <f t="shared" si="12"/>
        <v>0</v>
      </c>
      <c r="I137" s="7"/>
    </row>
    <row r="138" spans="1:9" s="8" customFormat="1" ht="15" hidden="1">
      <c r="A138" s="6" t="s">
        <v>272</v>
      </c>
      <c r="B138" s="9" t="s">
        <v>604</v>
      </c>
      <c r="C138" s="9" t="s">
        <v>727</v>
      </c>
      <c r="D138" s="9"/>
      <c r="E138" s="15">
        <f t="shared" si="13"/>
        <v>0</v>
      </c>
      <c r="F138" s="15">
        <f t="shared" si="10"/>
        <v>0</v>
      </c>
      <c r="G138" s="16">
        <f t="shared" si="11"/>
        <v>0</v>
      </c>
      <c r="H138" s="17">
        <f t="shared" si="12"/>
        <v>0</v>
      </c>
      <c r="I138" s="7"/>
    </row>
    <row r="139" spans="1:9" s="8" customFormat="1" ht="15" hidden="1">
      <c r="A139" s="6" t="s">
        <v>273</v>
      </c>
      <c r="B139" s="9" t="s">
        <v>604</v>
      </c>
      <c r="C139" s="9" t="s">
        <v>728</v>
      </c>
      <c r="D139" s="9"/>
      <c r="E139" s="15">
        <f t="shared" si="13"/>
        <v>0</v>
      </c>
      <c r="F139" s="15">
        <f t="shared" si="10"/>
        <v>0</v>
      </c>
      <c r="G139" s="16">
        <f t="shared" si="11"/>
        <v>0</v>
      </c>
      <c r="H139" s="17">
        <f t="shared" si="12"/>
        <v>0</v>
      </c>
      <c r="I139" s="7"/>
    </row>
    <row r="140" spans="1:9" s="8" customFormat="1" ht="15" hidden="1">
      <c r="A140" s="6" t="s">
        <v>274</v>
      </c>
      <c r="B140" s="9" t="s">
        <v>604</v>
      </c>
      <c r="C140" s="9" t="s">
        <v>729</v>
      </c>
      <c r="D140" s="9"/>
      <c r="E140" s="15">
        <f t="shared" si="13"/>
        <v>0</v>
      </c>
      <c r="F140" s="15">
        <f t="shared" si="10"/>
        <v>0</v>
      </c>
      <c r="G140" s="16">
        <f t="shared" si="11"/>
        <v>0</v>
      </c>
      <c r="H140" s="17">
        <f t="shared" si="12"/>
        <v>0</v>
      </c>
      <c r="I140" s="7"/>
    </row>
    <row r="141" spans="1:9" s="8" customFormat="1" ht="15" hidden="1">
      <c r="A141" s="6" t="s">
        <v>275</v>
      </c>
      <c r="B141" s="9" t="s">
        <v>604</v>
      </c>
      <c r="C141" s="9" t="s">
        <v>730</v>
      </c>
      <c r="D141" s="9"/>
      <c r="E141" s="15">
        <f t="shared" si="13"/>
        <v>0</v>
      </c>
      <c r="F141" s="15">
        <f t="shared" si="10"/>
        <v>0</v>
      </c>
      <c r="G141" s="16">
        <f t="shared" si="11"/>
        <v>0</v>
      </c>
      <c r="H141" s="17">
        <f t="shared" si="12"/>
        <v>0</v>
      </c>
      <c r="I141" s="7"/>
    </row>
    <row r="142" spans="1:9" s="8" customFormat="1" ht="15" hidden="1">
      <c r="A142" s="7" t="s">
        <v>794</v>
      </c>
      <c r="B142" s="7" t="s">
        <v>606</v>
      </c>
      <c r="C142" s="7" t="s">
        <v>795</v>
      </c>
      <c r="D142" s="7"/>
      <c r="E142" s="15">
        <f t="shared" si="13"/>
        <v>0</v>
      </c>
      <c r="F142" s="15">
        <f t="shared" si="10"/>
        <v>0</v>
      </c>
      <c r="G142" s="16">
        <f t="shared" si="11"/>
        <v>0</v>
      </c>
      <c r="H142" s="17">
        <f t="shared" si="12"/>
        <v>0</v>
      </c>
      <c r="I142" s="7"/>
    </row>
    <row r="143" spans="1:9" s="8" customFormat="1" ht="15" hidden="1">
      <c r="A143" s="7" t="s">
        <v>796</v>
      </c>
      <c r="B143" s="7" t="s">
        <v>606</v>
      </c>
      <c r="C143" s="7" t="s">
        <v>797</v>
      </c>
      <c r="D143" s="7"/>
      <c r="E143" s="15">
        <f t="shared" si="13"/>
        <v>0</v>
      </c>
      <c r="F143" s="15">
        <f t="shared" si="10"/>
        <v>0</v>
      </c>
      <c r="G143" s="16">
        <f t="shared" si="11"/>
        <v>0</v>
      </c>
      <c r="H143" s="17">
        <f t="shared" si="12"/>
        <v>0</v>
      </c>
      <c r="I143" s="7"/>
    </row>
    <row r="144" spans="1:9" s="8" customFormat="1" ht="15" hidden="1">
      <c r="A144" s="7" t="s">
        <v>798</v>
      </c>
      <c r="B144" s="7" t="s">
        <v>606</v>
      </c>
      <c r="C144" s="7" t="s">
        <v>799</v>
      </c>
      <c r="D144" s="7"/>
      <c r="E144" s="15">
        <f t="shared" si="13"/>
        <v>0</v>
      </c>
      <c r="F144" s="15">
        <f t="shared" si="10"/>
        <v>0</v>
      </c>
      <c r="G144" s="16">
        <f t="shared" si="11"/>
        <v>0</v>
      </c>
      <c r="H144" s="17">
        <f t="shared" si="12"/>
        <v>0</v>
      </c>
      <c r="I144" s="7"/>
    </row>
    <row r="145" spans="1:9" s="8" customFormat="1" ht="15" hidden="1">
      <c r="A145" s="7" t="s">
        <v>800</v>
      </c>
      <c r="B145" s="7" t="s">
        <v>606</v>
      </c>
      <c r="C145" s="7" t="s">
        <v>801</v>
      </c>
      <c r="D145" s="7"/>
      <c r="E145" s="15">
        <f t="shared" si="13"/>
        <v>0</v>
      </c>
      <c r="F145" s="15">
        <f t="shared" si="10"/>
        <v>0</v>
      </c>
      <c r="G145" s="16">
        <f t="shared" si="11"/>
        <v>0</v>
      </c>
      <c r="H145" s="17">
        <f t="shared" si="12"/>
        <v>0</v>
      </c>
      <c r="I145" s="7"/>
    </row>
    <row r="146" spans="1:9" s="8" customFormat="1" ht="15" hidden="1">
      <c r="A146" s="7" t="s">
        <v>802</v>
      </c>
      <c r="B146" s="7" t="s">
        <v>826</v>
      </c>
      <c r="C146" s="7" t="s">
        <v>803</v>
      </c>
      <c r="D146" s="7"/>
      <c r="E146" s="15">
        <f t="shared" si="13"/>
        <v>0</v>
      </c>
      <c r="F146" s="15">
        <f t="shared" si="10"/>
        <v>0</v>
      </c>
      <c r="G146" s="16">
        <f t="shared" si="11"/>
        <v>0</v>
      </c>
      <c r="H146" s="17">
        <f t="shared" si="12"/>
        <v>0</v>
      </c>
      <c r="I146" s="7"/>
    </row>
    <row r="147" spans="1:9" s="8" customFormat="1" ht="15" hidden="1">
      <c r="A147" s="7" t="s">
        <v>804</v>
      </c>
      <c r="B147" s="7" t="s">
        <v>826</v>
      </c>
      <c r="C147" s="7" t="s">
        <v>805</v>
      </c>
      <c r="D147" s="7"/>
      <c r="E147" s="15">
        <f t="shared" si="13"/>
        <v>0</v>
      </c>
      <c r="F147" s="15">
        <f t="shared" si="10"/>
        <v>0</v>
      </c>
      <c r="G147" s="16">
        <f t="shared" si="11"/>
        <v>0</v>
      </c>
      <c r="H147" s="17">
        <f t="shared" si="12"/>
        <v>0</v>
      </c>
      <c r="I147" s="7"/>
    </row>
    <row r="148" spans="1:9" s="8" customFormat="1" ht="15" hidden="1">
      <c r="A148" s="7" t="s">
        <v>806</v>
      </c>
      <c r="B148" s="7" t="s">
        <v>826</v>
      </c>
      <c r="C148" s="7" t="s">
        <v>807</v>
      </c>
      <c r="D148" s="7"/>
      <c r="E148" s="15">
        <f t="shared" si="13"/>
        <v>0</v>
      </c>
      <c r="F148" s="15">
        <f t="shared" si="10"/>
        <v>0</v>
      </c>
      <c r="G148" s="16">
        <f t="shared" si="11"/>
        <v>0</v>
      </c>
      <c r="H148" s="17">
        <f t="shared" si="12"/>
        <v>0</v>
      </c>
      <c r="I148" s="7"/>
    </row>
    <row r="149" spans="1:9" s="8" customFormat="1" ht="15" hidden="1">
      <c r="A149" s="7" t="s">
        <v>808</v>
      </c>
      <c r="B149" s="7" t="s">
        <v>826</v>
      </c>
      <c r="C149" s="7" t="s">
        <v>809</v>
      </c>
      <c r="D149" s="7"/>
      <c r="E149" s="15">
        <f t="shared" si="13"/>
        <v>0</v>
      </c>
      <c r="F149" s="15">
        <f t="shared" si="10"/>
        <v>0</v>
      </c>
      <c r="G149" s="16">
        <f t="shared" si="11"/>
        <v>0</v>
      </c>
      <c r="H149" s="17">
        <f t="shared" si="12"/>
        <v>0</v>
      </c>
      <c r="I149" s="7"/>
    </row>
    <row r="150" spans="1:9" s="8" customFormat="1" ht="15" hidden="1">
      <c r="A150" s="7" t="s">
        <v>56</v>
      </c>
      <c r="B150" s="7" t="s">
        <v>826</v>
      </c>
      <c r="C150" s="7" t="s">
        <v>57</v>
      </c>
      <c r="D150" s="7"/>
      <c r="E150" s="15">
        <f t="shared" si="13"/>
        <v>0</v>
      </c>
      <c r="F150" s="15">
        <f t="shared" si="10"/>
        <v>0</v>
      </c>
      <c r="G150" s="16">
        <f t="shared" si="11"/>
        <v>0</v>
      </c>
      <c r="H150" s="17">
        <f t="shared" si="12"/>
        <v>0</v>
      </c>
      <c r="I150" s="7"/>
    </row>
    <row r="151" spans="1:9" s="8" customFormat="1" ht="15" hidden="1">
      <c r="A151" s="6" t="s">
        <v>276</v>
      </c>
      <c r="B151" s="9" t="s">
        <v>22</v>
      </c>
      <c r="C151" s="9" t="s">
        <v>603</v>
      </c>
      <c r="D151" s="9"/>
      <c r="E151" s="15">
        <f t="shared" si="13"/>
        <v>0</v>
      </c>
      <c r="F151" s="15">
        <f t="shared" si="10"/>
        <v>0</v>
      </c>
      <c r="G151" s="16">
        <f t="shared" si="11"/>
        <v>0</v>
      </c>
      <c r="H151" s="17">
        <f t="shared" si="12"/>
        <v>0</v>
      </c>
      <c r="I151" s="7"/>
    </row>
    <row r="152" spans="1:9" s="8" customFormat="1" ht="15" hidden="1">
      <c r="A152" s="7" t="s">
        <v>58</v>
      </c>
      <c r="B152" s="7" t="s">
        <v>606</v>
      </c>
      <c r="C152" s="7" t="s">
        <v>59</v>
      </c>
      <c r="D152" s="7"/>
      <c r="E152" s="15">
        <f t="shared" si="13"/>
        <v>0</v>
      </c>
      <c r="F152" s="15">
        <f t="shared" si="10"/>
        <v>0</v>
      </c>
      <c r="G152" s="16">
        <f t="shared" si="11"/>
        <v>0</v>
      </c>
      <c r="H152" s="17">
        <f t="shared" si="12"/>
        <v>0</v>
      </c>
      <c r="I152" s="7"/>
    </row>
    <row r="153" spans="1:9" s="8" customFormat="1" ht="15" hidden="1">
      <c r="A153" s="7" t="s">
        <v>60</v>
      </c>
      <c r="B153" s="7" t="s">
        <v>606</v>
      </c>
      <c r="C153" s="7" t="s">
        <v>61</v>
      </c>
      <c r="D153" s="7"/>
      <c r="E153" s="15">
        <f t="shared" si="13"/>
        <v>0</v>
      </c>
      <c r="F153" s="15">
        <f t="shared" si="10"/>
        <v>0</v>
      </c>
      <c r="G153" s="16">
        <f t="shared" si="11"/>
        <v>0</v>
      </c>
      <c r="H153" s="17">
        <f t="shared" si="12"/>
        <v>0</v>
      </c>
      <c r="I153" s="7"/>
    </row>
    <row r="154" spans="1:9" s="8" customFormat="1" ht="15" hidden="1">
      <c r="A154" s="7" t="s">
        <v>62</v>
      </c>
      <c r="B154" s="7" t="s">
        <v>606</v>
      </c>
      <c r="C154" s="7" t="s">
        <v>63</v>
      </c>
      <c r="D154" s="7"/>
      <c r="E154" s="15">
        <f t="shared" si="13"/>
        <v>0</v>
      </c>
      <c r="F154" s="15">
        <f t="shared" si="10"/>
        <v>0</v>
      </c>
      <c r="G154" s="16">
        <f t="shared" si="11"/>
        <v>0</v>
      </c>
      <c r="H154" s="17">
        <f t="shared" si="12"/>
        <v>0</v>
      </c>
      <c r="I154" s="7"/>
    </row>
    <row r="155" spans="1:9" s="8" customFormat="1" ht="15" hidden="1">
      <c r="A155" s="6" t="s">
        <v>277</v>
      </c>
      <c r="B155" s="9" t="s">
        <v>606</v>
      </c>
      <c r="C155" s="9" t="s">
        <v>89</v>
      </c>
      <c r="D155" s="9"/>
      <c r="E155" s="15">
        <f t="shared" si="13"/>
        <v>0</v>
      </c>
      <c r="F155" s="15">
        <f t="shared" si="10"/>
        <v>0</v>
      </c>
      <c r="G155" s="16">
        <f t="shared" si="11"/>
        <v>0</v>
      </c>
      <c r="H155" s="17">
        <f t="shared" si="12"/>
        <v>0</v>
      </c>
      <c r="I155" s="7"/>
    </row>
    <row r="156" spans="1:9" s="8" customFormat="1" ht="15" hidden="1">
      <c r="A156" s="6" t="s">
        <v>278</v>
      </c>
      <c r="B156" s="9" t="s">
        <v>606</v>
      </c>
      <c r="C156" s="9" t="s">
        <v>90</v>
      </c>
      <c r="D156" s="9"/>
      <c r="E156" s="15">
        <f t="shared" si="13"/>
        <v>0</v>
      </c>
      <c r="F156" s="15">
        <f t="shared" si="10"/>
        <v>0</v>
      </c>
      <c r="G156" s="16">
        <f t="shared" si="11"/>
        <v>0</v>
      </c>
      <c r="H156" s="17">
        <f t="shared" si="12"/>
        <v>0</v>
      </c>
      <c r="I156" s="7"/>
    </row>
    <row r="157" spans="1:9" s="8" customFormat="1" ht="15" hidden="1">
      <c r="A157" s="6" t="s">
        <v>279</v>
      </c>
      <c r="B157" s="9" t="s">
        <v>606</v>
      </c>
      <c r="C157" s="9" t="s">
        <v>91</v>
      </c>
      <c r="D157" s="9"/>
      <c r="E157" s="15">
        <f t="shared" si="13"/>
        <v>0</v>
      </c>
      <c r="F157" s="15">
        <f aca="true" t="shared" si="14" ref="F157:F218">(E157/0.7)*1.21</f>
        <v>0</v>
      </c>
      <c r="G157" s="16">
        <f aca="true" t="shared" si="15" ref="G157:G218">ROUND((F157/1.21)*1.21*$I$1,-1)</f>
        <v>0</v>
      </c>
      <c r="H157" s="17">
        <f aca="true" t="shared" si="16" ref="H157:H218">(F157/1.21)*1.21*$I$1*0.7</f>
        <v>0</v>
      </c>
      <c r="I157" s="7"/>
    </row>
    <row r="158" spans="1:9" s="8" customFormat="1" ht="15" hidden="1">
      <c r="A158" s="6" t="s">
        <v>870</v>
      </c>
      <c r="B158" s="9" t="s">
        <v>606</v>
      </c>
      <c r="C158" s="9" t="s">
        <v>871</v>
      </c>
      <c r="D158" s="9"/>
      <c r="E158" s="15">
        <f t="shared" si="13"/>
        <v>0</v>
      </c>
      <c r="F158" s="15">
        <f t="shared" si="14"/>
        <v>0</v>
      </c>
      <c r="G158" s="16">
        <f t="shared" si="15"/>
        <v>0</v>
      </c>
      <c r="H158" s="17">
        <f t="shared" si="16"/>
        <v>0</v>
      </c>
      <c r="I158" s="7"/>
    </row>
    <row r="159" spans="1:9" s="8" customFormat="1" ht="15" hidden="1">
      <c r="A159" s="6" t="s">
        <v>280</v>
      </c>
      <c r="B159" s="9" t="s">
        <v>606</v>
      </c>
      <c r="C159" s="9" t="s">
        <v>92</v>
      </c>
      <c r="D159" s="9"/>
      <c r="E159" s="15">
        <f t="shared" si="13"/>
        <v>0</v>
      </c>
      <c r="F159" s="15">
        <f t="shared" si="14"/>
        <v>0</v>
      </c>
      <c r="G159" s="16">
        <f t="shared" si="15"/>
        <v>0</v>
      </c>
      <c r="H159" s="17">
        <f t="shared" si="16"/>
        <v>0</v>
      </c>
      <c r="I159" s="7"/>
    </row>
    <row r="160" spans="1:9" s="8" customFormat="1" ht="15" hidden="1">
      <c r="A160" s="6" t="s">
        <v>281</v>
      </c>
      <c r="B160" s="9" t="s">
        <v>606</v>
      </c>
      <c r="C160" s="12" t="s">
        <v>872</v>
      </c>
      <c r="D160" s="12"/>
      <c r="E160" s="15">
        <f t="shared" si="13"/>
        <v>0</v>
      </c>
      <c r="F160" s="15">
        <f t="shared" si="14"/>
        <v>0</v>
      </c>
      <c r="G160" s="16">
        <f t="shared" si="15"/>
        <v>0</v>
      </c>
      <c r="H160" s="17">
        <f t="shared" si="16"/>
        <v>0</v>
      </c>
      <c r="I160" s="7"/>
    </row>
    <row r="161" spans="1:9" s="8" customFormat="1" ht="15" hidden="1">
      <c r="A161" s="6" t="s">
        <v>873</v>
      </c>
      <c r="B161" s="9" t="s">
        <v>606</v>
      </c>
      <c r="C161" s="9" t="s">
        <v>874</v>
      </c>
      <c r="D161" s="9"/>
      <c r="E161" s="15">
        <f t="shared" si="13"/>
        <v>0</v>
      </c>
      <c r="F161" s="15">
        <f t="shared" si="14"/>
        <v>0</v>
      </c>
      <c r="G161" s="16">
        <f t="shared" si="15"/>
        <v>0</v>
      </c>
      <c r="H161" s="17">
        <f t="shared" si="16"/>
        <v>0</v>
      </c>
      <c r="I161" s="7"/>
    </row>
    <row r="162" spans="1:9" s="8" customFormat="1" ht="15" hidden="1">
      <c r="A162" s="6" t="s">
        <v>282</v>
      </c>
      <c r="B162" s="9" t="s">
        <v>606</v>
      </c>
      <c r="C162" s="9" t="s">
        <v>93</v>
      </c>
      <c r="D162" s="9"/>
      <c r="E162" s="15">
        <f aca="true" t="shared" si="17" ref="E162:E187">D162/1.21</f>
        <v>0</v>
      </c>
      <c r="F162" s="15">
        <f t="shared" si="14"/>
        <v>0</v>
      </c>
      <c r="G162" s="16">
        <f t="shared" si="15"/>
        <v>0</v>
      </c>
      <c r="H162" s="17">
        <f t="shared" si="16"/>
        <v>0</v>
      </c>
      <c r="I162" s="7"/>
    </row>
    <row r="163" spans="1:9" s="8" customFormat="1" ht="15" hidden="1">
      <c r="A163" s="6" t="s">
        <v>283</v>
      </c>
      <c r="B163" s="9" t="s">
        <v>606</v>
      </c>
      <c r="C163" s="9" t="s">
        <v>94</v>
      </c>
      <c r="D163" s="9"/>
      <c r="E163" s="15">
        <f t="shared" si="17"/>
        <v>0</v>
      </c>
      <c r="F163" s="15">
        <f t="shared" si="14"/>
        <v>0</v>
      </c>
      <c r="G163" s="16">
        <f t="shared" si="15"/>
        <v>0</v>
      </c>
      <c r="H163" s="17">
        <f t="shared" si="16"/>
        <v>0</v>
      </c>
      <c r="I163" s="7"/>
    </row>
    <row r="164" spans="1:9" s="8" customFormat="1" ht="15" hidden="1">
      <c r="A164" s="6" t="s">
        <v>284</v>
      </c>
      <c r="B164" s="9" t="s">
        <v>606</v>
      </c>
      <c r="C164" s="9" t="s">
        <v>95</v>
      </c>
      <c r="D164" s="9"/>
      <c r="E164" s="15">
        <f t="shared" si="17"/>
        <v>0</v>
      </c>
      <c r="F164" s="15">
        <f t="shared" si="14"/>
        <v>0</v>
      </c>
      <c r="G164" s="16">
        <f t="shared" si="15"/>
        <v>0</v>
      </c>
      <c r="H164" s="17">
        <f t="shared" si="16"/>
        <v>0</v>
      </c>
      <c r="I164" s="7"/>
    </row>
    <row r="165" spans="1:9" s="8" customFormat="1" ht="15" hidden="1">
      <c r="A165" s="6" t="s">
        <v>285</v>
      </c>
      <c r="B165" s="9" t="s">
        <v>606</v>
      </c>
      <c r="C165" s="9" t="s">
        <v>96</v>
      </c>
      <c r="D165" s="9"/>
      <c r="E165" s="15">
        <f t="shared" si="17"/>
        <v>0</v>
      </c>
      <c r="F165" s="15">
        <f t="shared" si="14"/>
        <v>0</v>
      </c>
      <c r="G165" s="16">
        <f t="shared" si="15"/>
        <v>0</v>
      </c>
      <c r="H165" s="17">
        <f t="shared" si="16"/>
        <v>0</v>
      </c>
      <c r="I165" s="7"/>
    </row>
    <row r="166" spans="1:9" s="8" customFormat="1" ht="15" hidden="1">
      <c r="A166" s="6" t="s">
        <v>286</v>
      </c>
      <c r="B166" s="9" t="s">
        <v>606</v>
      </c>
      <c r="C166" s="9" t="s">
        <v>97</v>
      </c>
      <c r="D166" s="9"/>
      <c r="E166" s="15">
        <f t="shared" si="17"/>
        <v>0</v>
      </c>
      <c r="F166" s="15">
        <f t="shared" si="14"/>
        <v>0</v>
      </c>
      <c r="G166" s="16">
        <f t="shared" si="15"/>
        <v>0</v>
      </c>
      <c r="H166" s="17">
        <f t="shared" si="16"/>
        <v>0</v>
      </c>
      <c r="I166" s="7"/>
    </row>
    <row r="167" spans="1:9" s="8" customFormat="1" ht="15" hidden="1">
      <c r="A167" s="6" t="s">
        <v>287</v>
      </c>
      <c r="B167" s="9" t="s">
        <v>606</v>
      </c>
      <c r="C167" s="9" t="s">
        <v>98</v>
      </c>
      <c r="D167" s="9"/>
      <c r="E167" s="15">
        <f t="shared" si="17"/>
        <v>0</v>
      </c>
      <c r="F167" s="15">
        <f t="shared" si="14"/>
        <v>0</v>
      </c>
      <c r="G167" s="16">
        <f t="shared" si="15"/>
        <v>0</v>
      </c>
      <c r="H167" s="17">
        <f t="shared" si="16"/>
        <v>0</v>
      </c>
      <c r="I167" s="7"/>
    </row>
    <row r="168" spans="1:9" s="8" customFormat="1" ht="15" hidden="1">
      <c r="A168" s="6" t="s">
        <v>288</v>
      </c>
      <c r="B168" s="9" t="s">
        <v>606</v>
      </c>
      <c r="C168" s="9" t="s">
        <v>588</v>
      </c>
      <c r="D168" s="9"/>
      <c r="E168" s="15">
        <f t="shared" si="17"/>
        <v>0</v>
      </c>
      <c r="F168" s="15">
        <f t="shared" si="14"/>
        <v>0</v>
      </c>
      <c r="G168" s="16">
        <f t="shared" si="15"/>
        <v>0</v>
      </c>
      <c r="H168" s="17">
        <f t="shared" si="16"/>
        <v>0</v>
      </c>
      <c r="I168" s="7"/>
    </row>
    <row r="169" spans="1:9" s="8" customFormat="1" ht="15" hidden="1">
      <c r="A169" s="6" t="s">
        <v>289</v>
      </c>
      <c r="B169" s="9" t="s">
        <v>24</v>
      </c>
      <c r="C169" s="9" t="s">
        <v>593</v>
      </c>
      <c r="D169" s="9"/>
      <c r="E169" s="15">
        <f t="shared" si="17"/>
        <v>0</v>
      </c>
      <c r="F169" s="15">
        <f t="shared" si="14"/>
        <v>0</v>
      </c>
      <c r="G169" s="16">
        <f t="shared" si="15"/>
        <v>0</v>
      </c>
      <c r="H169" s="17">
        <f t="shared" si="16"/>
        <v>0</v>
      </c>
      <c r="I169" s="7"/>
    </row>
    <row r="170" spans="1:9" s="8" customFormat="1" ht="15" hidden="1">
      <c r="A170" s="6" t="s">
        <v>290</v>
      </c>
      <c r="B170" s="9" t="s">
        <v>24</v>
      </c>
      <c r="C170" s="9" t="s">
        <v>594</v>
      </c>
      <c r="D170" s="9"/>
      <c r="E170" s="15">
        <f t="shared" si="17"/>
        <v>0</v>
      </c>
      <c r="F170" s="15">
        <f t="shared" si="14"/>
        <v>0</v>
      </c>
      <c r="G170" s="16">
        <f t="shared" si="15"/>
        <v>0</v>
      </c>
      <c r="H170" s="17">
        <f t="shared" si="16"/>
        <v>0</v>
      </c>
      <c r="I170" s="7"/>
    </row>
    <row r="171" spans="1:9" s="8" customFormat="1" ht="15" hidden="1">
      <c r="A171" s="6" t="s">
        <v>291</v>
      </c>
      <c r="B171" s="9" t="s">
        <v>24</v>
      </c>
      <c r="C171" s="9" t="s">
        <v>784</v>
      </c>
      <c r="D171" s="9"/>
      <c r="E171" s="15">
        <f t="shared" si="17"/>
        <v>0</v>
      </c>
      <c r="F171" s="15">
        <f t="shared" si="14"/>
        <v>0</v>
      </c>
      <c r="G171" s="16">
        <f t="shared" si="15"/>
        <v>0</v>
      </c>
      <c r="H171" s="17">
        <f t="shared" si="16"/>
        <v>0</v>
      </c>
      <c r="I171" s="7"/>
    </row>
    <row r="172" spans="1:9" s="8" customFormat="1" ht="15" hidden="1">
      <c r="A172" s="6" t="s">
        <v>292</v>
      </c>
      <c r="B172" s="9" t="s">
        <v>24</v>
      </c>
      <c r="C172" s="9" t="s">
        <v>785</v>
      </c>
      <c r="D172" s="9"/>
      <c r="E172" s="15">
        <f t="shared" si="17"/>
        <v>0</v>
      </c>
      <c r="F172" s="15">
        <f t="shared" si="14"/>
        <v>0</v>
      </c>
      <c r="G172" s="16">
        <f t="shared" si="15"/>
        <v>0</v>
      </c>
      <c r="H172" s="17">
        <f t="shared" si="16"/>
        <v>0</v>
      </c>
      <c r="I172" s="7"/>
    </row>
    <row r="173" spans="1:9" s="8" customFormat="1" ht="15" hidden="1">
      <c r="A173" s="6" t="s">
        <v>293</v>
      </c>
      <c r="B173" s="9" t="s">
        <v>24</v>
      </c>
      <c r="C173" s="9" t="s">
        <v>595</v>
      </c>
      <c r="D173" s="9"/>
      <c r="E173" s="15">
        <f t="shared" si="17"/>
        <v>0</v>
      </c>
      <c r="F173" s="15">
        <f t="shared" si="14"/>
        <v>0</v>
      </c>
      <c r="G173" s="16">
        <f t="shared" si="15"/>
        <v>0</v>
      </c>
      <c r="H173" s="17">
        <f t="shared" si="16"/>
        <v>0</v>
      </c>
      <c r="I173" s="7"/>
    </row>
    <row r="174" spans="1:9" s="8" customFormat="1" ht="15" hidden="1">
      <c r="A174" s="6" t="s">
        <v>294</v>
      </c>
      <c r="B174" s="9" t="s">
        <v>24</v>
      </c>
      <c r="C174" s="9" t="s">
        <v>596</v>
      </c>
      <c r="D174" s="9"/>
      <c r="E174" s="15">
        <f t="shared" si="17"/>
        <v>0</v>
      </c>
      <c r="F174" s="15">
        <f t="shared" si="14"/>
        <v>0</v>
      </c>
      <c r="G174" s="16">
        <f t="shared" si="15"/>
        <v>0</v>
      </c>
      <c r="H174" s="17">
        <f t="shared" si="16"/>
        <v>0</v>
      </c>
      <c r="I174" s="7"/>
    </row>
    <row r="175" spans="1:9" s="8" customFormat="1" ht="15" hidden="1">
      <c r="A175" s="6" t="s">
        <v>295</v>
      </c>
      <c r="B175" s="9" t="s">
        <v>24</v>
      </c>
      <c r="C175" s="9" t="s">
        <v>597</v>
      </c>
      <c r="D175" s="9"/>
      <c r="E175" s="15">
        <f t="shared" si="17"/>
        <v>0</v>
      </c>
      <c r="F175" s="15">
        <f t="shared" si="14"/>
        <v>0</v>
      </c>
      <c r="G175" s="16">
        <f t="shared" si="15"/>
        <v>0</v>
      </c>
      <c r="H175" s="17">
        <f t="shared" si="16"/>
        <v>0</v>
      </c>
      <c r="I175" s="7"/>
    </row>
    <row r="176" spans="1:9" s="8" customFormat="1" ht="15" hidden="1">
      <c r="A176" s="6" t="s">
        <v>296</v>
      </c>
      <c r="B176" s="9" t="s">
        <v>24</v>
      </c>
      <c r="C176" s="9" t="s">
        <v>596</v>
      </c>
      <c r="D176" s="9"/>
      <c r="E176" s="15">
        <f t="shared" si="17"/>
        <v>0</v>
      </c>
      <c r="F176" s="15">
        <f t="shared" si="14"/>
        <v>0</v>
      </c>
      <c r="G176" s="16">
        <f t="shared" si="15"/>
        <v>0</v>
      </c>
      <c r="H176" s="17">
        <f t="shared" si="16"/>
        <v>0</v>
      </c>
      <c r="I176" s="7"/>
    </row>
    <row r="177" spans="1:9" s="8" customFormat="1" ht="15" hidden="1">
      <c r="A177" s="7" t="s">
        <v>64</v>
      </c>
      <c r="B177" s="7" t="s">
        <v>22</v>
      </c>
      <c r="C177" s="7" t="s">
        <v>913</v>
      </c>
      <c r="D177" s="7"/>
      <c r="E177" s="15">
        <f t="shared" si="17"/>
        <v>0</v>
      </c>
      <c r="F177" s="15">
        <f t="shared" si="14"/>
        <v>0</v>
      </c>
      <c r="G177" s="16">
        <f t="shared" si="15"/>
        <v>0</v>
      </c>
      <c r="H177" s="17">
        <f t="shared" si="16"/>
        <v>0</v>
      </c>
      <c r="I177" s="7"/>
    </row>
    <row r="178" spans="1:9" s="8" customFormat="1" ht="15" hidden="1">
      <c r="A178" s="6" t="s">
        <v>297</v>
      </c>
      <c r="B178" s="9" t="s">
        <v>23</v>
      </c>
      <c r="C178" s="9" t="s">
        <v>598</v>
      </c>
      <c r="D178" s="9"/>
      <c r="E178" s="15">
        <f t="shared" si="17"/>
        <v>0</v>
      </c>
      <c r="F178" s="15">
        <f t="shared" si="14"/>
        <v>0</v>
      </c>
      <c r="G178" s="16">
        <f t="shared" si="15"/>
        <v>0</v>
      </c>
      <c r="H178" s="17">
        <f t="shared" si="16"/>
        <v>0</v>
      </c>
      <c r="I178" s="7"/>
    </row>
    <row r="179" spans="1:9" s="8" customFormat="1" ht="15" hidden="1">
      <c r="A179" s="6" t="s">
        <v>298</v>
      </c>
      <c r="B179" s="9" t="s">
        <v>23</v>
      </c>
      <c r="C179" s="9" t="s">
        <v>599</v>
      </c>
      <c r="D179" s="9"/>
      <c r="E179" s="15">
        <f t="shared" si="17"/>
        <v>0</v>
      </c>
      <c r="F179" s="15">
        <f t="shared" si="14"/>
        <v>0</v>
      </c>
      <c r="G179" s="16">
        <f t="shared" si="15"/>
        <v>0</v>
      </c>
      <c r="H179" s="17">
        <f t="shared" si="16"/>
        <v>0</v>
      </c>
      <c r="I179" s="7"/>
    </row>
    <row r="180" spans="1:9" s="8" customFormat="1" ht="15" hidden="1">
      <c r="A180" s="6" t="s">
        <v>914</v>
      </c>
      <c r="B180" s="9" t="s">
        <v>23</v>
      </c>
      <c r="C180" s="9" t="s">
        <v>915</v>
      </c>
      <c r="D180" s="9"/>
      <c r="E180" s="15">
        <f t="shared" si="17"/>
        <v>0</v>
      </c>
      <c r="F180" s="15">
        <f t="shared" si="14"/>
        <v>0</v>
      </c>
      <c r="G180" s="16">
        <f t="shared" si="15"/>
        <v>0</v>
      </c>
      <c r="H180" s="17">
        <f t="shared" si="16"/>
        <v>0</v>
      </c>
      <c r="I180" s="7"/>
    </row>
    <row r="181" spans="1:9" s="8" customFormat="1" ht="15" hidden="1">
      <c r="A181" s="6" t="s">
        <v>299</v>
      </c>
      <c r="B181" s="9" t="s">
        <v>24</v>
      </c>
      <c r="C181" s="9" t="s">
        <v>99</v>
      </c>
      <c r="D181" s="9"/>
      <c r="E181" s="15">
        <f t="shared" si="17"/>
        <v>0</v>
      </c>
      <c r="F181" s="15">
        <f t="shared" si="14"/>
        <v>0</v>
      </c>
      <c r="G181" s="16">
        <f t="shared" si="15"/>
        <v>0</v>
      </c>
      <c r="H181" s="17">
        <f t="shared" si="16"/>
        <v>0</v>
      </c>
      <c r="I181" s="7"/>
    </row>
    <row r="182" spans="1:9" s="8" customFormat="1" ht="15" hidden="1">
      <c r="A182" s="6" t="s">
        <v>300</v>
      </c>
      <c r="B182" s="9" t="s">
        <v>24</v>
      </c>
      <c r="C182" s="9" t="s">
        <v>100</v>
      </c>
      <c r="D182" s="9"/>
      <c r="E182" s="15">
        <f t="shared" si="17"/>
        <v>0</v>
      </c>
      <c r="F182" s="15">
        <f t="shared" si="14"/>
        <v>0</v>
      </c>
      <c r="G182" s="16">
        <f t="shared" si="15"/>
        <v>0</v>
      </c>
      <c r="H182" s="17">
        <f t="shared" si="16"/>
        <v>0</v>
      </c>
      <c r="I182" s="7"/>
    </row>
    <row r="183" spans="1:9" s="8" customFormat="1" ht="15" hidden="1">
      <c r="A183" s="6" t="s">
        <v>301</v>
      </c>
      <c r="B183" s="9" t="s">
        <v>24</v>
      </c>
      <c r="C183" s="9" t="s">
        <v>101</v>
      </c>
      <c r="D183" s="9"/>
      <c r="E183" s="15">
        <f t="shared" si="17"/>
        <v>0</v>
      </c>
      <c r="F183" s="15">
        <f t="shared" si="14"/>
        <v>0</v>
      </c>
      <c r="G183" s="16">
        <f t="shared" si="15"/>
        <v>0</v>
      </c>
      <c r="H183" s="17">
        <f t="shared" si="16"/>
        <v>0</v>
      </c>
      <c r="I183" s="7"/>
    </row>
    <row r="184" spans="1:9" s="8" customFormat="1" ht="15" hidden="1">
      <c r="A184" s="6" t="s">
        <v>302</v>
      </c>
      <c r="B184" s="9" t="s">
        <v>24</v>
      </c>
      <c r="C184" s="9" t="s">
        <v>102</v>
      </c>
      <c r="D184" s="9"/>
      <c r="E184" s="15">
        <f t="shared" si="17"/>
        <v>0</v>
      </c>
      <c r="F184" s="15">
        <f t="shared" si="14"/>
        <v>0</v>
      </c>
      <c r="G184" s="16">
        <f t="shared" si="15"/>
        <v>0</v>
      </c>
      <c r="H184" s="17">
        <f t="shared" si="16"/>
        <v>0</v>
      </c>
      <c r="I184" s="7"/>
    </row>
    <row r="185" spans="1:9" s="8" customFormat="1" ht="15" hidden="1">
      <c r="A185" s="6" t="s">
        <v>303</v>
      </c>
      <c r="B185" s="9" t="s">
        <v>24</v>
      </c>
      <c r="C185" s="9" t="s">
        <v>103</v>
      </c>
      <c r="D185" s="9"/>
      <c r="E185" s="15">
        <f t="shared" si="17"/>
        <v>0</v>
      </c>
      <c r="F185" s="15">
        <f t="shared" si="14"/>
        <v>0</v>
      </c>
      <c r="G185" s="16">
        <f t="shared" si="15"/>
        <v>0</v>
      </c>
      <c r="H185" s="17">
        <f t="shared" si="16"/>
        <v>0</v>
      </c>
      <c r="I185" s="7"/>
    </row>
    <row r="186" spans="1:9" s="8" customFormat="1" ht="15" hidden="1">
      <c r="A186" s="6" t="s">
        <v>304</v>
      </c>
      <c r="B186" s="9" t="s">
        <v>24</v>
      </c>
      <c r="C186" s="9" t="s">
        <v>104</v>
      </c>
      <c r="D186" s="9"/>
      <c r="E186" s="15">
        <f t="shared" si="17"/>
        <v>0</v>
      </c>
      <c r="F186" s="15">
        <f t="shared" si="14"/>
        <v>0</v>
      </c>
      <c r="G186" s="16">
        <f t="shared" si="15"/>
        <v>0</v>
      </c>
      <c r="H186" s="17">
        <f t="shared" si="16"/>
        <v>0</v>
      </c>
      <c r="I186" s="7"/>
    </row>
    <row r="187" spans="1:9" s="8" customFormat="1" ht="15" hidden="1">
      <c r="A187" s="6" t="s">
        <v>305</v>
      </c>
      <c r="B187" s="9" t="s">
        <v>24</v>
      </c>
      <c r="C187" s="9" t="s">
        <v>105</v>
      </c>
      <c r="D187" s="9"/>
      <c r="E187" s="15">
        <f t="shared" si="17"/>
        <v>0</v>
      </c>
      <c r="F187" s="15">
        <f t="shared" si="14"/>
        <v>0</v>
      </c>
      <c r="G187" s="16">
        <f t="shared" si="15"/>
        <v>0</v>
      </c>
      <c r="H187" s="17">
        <f t="shared" si="16"/>
        <v>0</v>
      </c>
      <c r="I187" s="7"/>
    </row>
    <row r="188" spans="1:9" s="8" customFormat="1" ht="15" hidden="1">
      <c r="A188" s="6" t="s">
        <v>306</v>
      </c>
      <c r="B188" s="9" t="s">
        <v>24</v>
      </c>
      <c r="C188" s="9" t="s">
        <v>106</v>
      </c>
      <c r="D188" s="9"/>
      <c r="E188" s="15">
        <f aca="true" t="shared" si="18" ref="E188:E251">D188/1.21</f>
        <v>0</v>
      </c>
      <c r="F188" s="15">
        <f t="shared" si="14"/>
        <v>0</v>
      </c>
      <c r="G188" s="16">
        <f t="shared" si="15"/>
        <v>0</v>
      </c>
      <c r="H188" s="17">
        <f t="shared" si="16"/>
        <v>0</v>
      </c>
      <c r="I188" s="7"/>
    </row>
    <row r="189" spans="1:9" s="8" customFormat="1" ht="15" hidden="1">
      <c r="A189" s="6" t="s">
        <v>84</v>
      </c>
      <c r="B189" s="9" t="s">
        <v>24</v>
      </c>
      <c r="C189" s="9" t="s">
        <v>85</v>
      </c>
      <c r="D189" s="9"/>
      <c r="E189" s="15">
        <f t="shared" si="18"/>
        <v>0</v>
      </c>
      <c r="F189" s="15">
        <f t="shared" si="14"/>
        <v>0</v>
      </c>
      <c r="G189" s="16">
        <f t="shared" si="15"/>
        <v>0</v>
      </c>
      <c r="H189" s="17">
        <f t="shared" si="16"/>
        <v>0</v>
      </c>
      <c r="I189" s="7"/>
    </row>
    <row r="190" spans="1:9" s="8" customFormat="1" ht="15" hidden="1">
      <c r="A190" s="6" t="s">
        <v>307</v>
      </c>
      <c r="B190" s="9" t="s">
        <v>24</v>
      </c>
      <c r="C190" s="9" t="s">
        <v>107</v>
      </c>
      <c r="D190" s="9"/>
      <c r="E190" s="15">
        <f t="shared" si="18"/>
        <v>0</v>
      </c>
      <c r="F190" s="15">
        <f t="shared" si="14"/>
        <v>0</v>
      </c>
      <c r="G190" s="16">
        <f t="shared" si="15"/>
        <v>0</v>
      </c>
      <c r="H190" s="17">
        <f t="shared" si="16"/>
        <v>0</v>
      </c>
      <c r="I190" s="7"/>
    </row>
    <row r="191" spans="1:9" s="8" customFormat="1" ht="15" hidden="1">
      <c r="A191" s="6" t="s">
        <v>308</v>
      </c>
      <c r="B191" s="9" t="s">
        <v>24</v>
      </c>
      <c r="C191" s="9" t="s">
        <v>108</v>
      </c>
      <c r="D191" s="9"/>
      <c r="E191" s="15">
        <f t="shared" si="18"/>
        <v>0</v>
      </c>
      <c r="F191" s="15">
        <f t="shared" si="14"/>
        <v>0</v>
      </c>
      <c r="G191" s="16">
        <f t="shared" si="15"/>
        <v>0</v>
      </c>
      <c r="H191" s="17">
        <f t="shared" si="16"/>
        <v>0</v>
      </c>
      <c r="I191" s="7"/>
    </row>
    <row r="192" spans="1:9" s="8" customFormat="1" ht="15" hidden="1">
      <c r="A192" s="6" t="s">
        <v>309</v>
      </c>
      <c r="B192" s="9" t="s">
        <v>24</v>
      </c>
      <c r="C192" s="9" t="s">
        <v>109</v>
      </c>
      <c r="D192" s="9"/>
      <c r="E192" s="15">
        <f t="shared" si="18"/>
        <v>0</v>
      </c>
      <c r="F192" s="15">
        <f t="shared" si="14"/>
        <v>0</v>
      </c>
      <c r="G192" s="16">
        <f t="shared" si="15"/>
        <v>0</v>
      </c>
      <c r="H192" s="17">
        <f t="shared" si="16"/>
        <v>0</v>
      </c>
      <c r="I192" s="7"/>
    </row>
    <row r="193" spans="1:9" s="8" customFormat="1" ht="15" hidden="1">
      <c r="A193" s="6" t="s">
        <v>310</v>
      </c>
      <c r="B193" s="9" t="s">
        <v>24</v>
      </c>
      <c r="C193" s="9" t="s">
        <v>110</v>
      </c>
      <c r="D193" s="9"/>
      <c r="E193" s="15">
        <f t="shared" si="18"/>
        <v>0</v>
      </c>
      <c r="F193" s="15">
        <f t="shared" si="14"/>
        <v>0</v>
      </c>
      <c r="G193" s="16">
        <f t="shared" si="15"/>
        <v>0</v>
      </c>
      <c r="H193" s="17">
        <f t="shared" si="16"/>
        <v>0</v>
      </c>
      <c r="I193" s="7"/>
    </row>
    <row r="194" spans="1:9" s="8" customFormat="1" ht="15" hidden="1">
      <c r="A194" s="6" t="s">
        <v>311</v>
      </c>
      <c r="B194" s="9" t="s">
        <v>24</v>
      </c>
      <c r="C194" s="9" t="s">
        <v>111</v>
      </c>
      <c r="D194" s="9"/>
      <c r="E194" s="15">
        <f t="shared" si="18"/>
        <v>0</v>
      </c>
      <c r="F194" s="15">
        <f t="shared" si="14"/>
        <v>0</v>
      </c>
      <c r="G194" s="16">
        <f t="shared" si="15"/>
        <v>0</v>
      </c>
      <c r="H194" s="17">
        <f t="shared" si="16"/>
        <v>0</v>
      </c>
      <c r="I194" s="7"/>
    </row>
    <row r="195" spans="1:9" s="8" customFormat="1" ht="15" hidden="1">
      <c r="A195" s="6" t="s">
        <v>312</v>
      </c>
      <c r="B195" s="9" t="s">
        <v>24</v>
      </c>
      <c r="C195" s="9" t="s">
        <v>112</v>
      </c>
      <c r="D195" s="9"/>
      <c r="E195" s="15">
        <f t="shared" si="18"/>
        <v>0</v>
      </c>
      <c r="F195" s="15">
        <f t="shared" si="14"/>
        <v>0</v>
      </c>
      <c r="G195" s="16">
        <f t="shared" si="15"/>
        <v>0</v>
      </c>
      <c r="H195" s="17">
        <f t="shared" si="16"/>
        <v>0</v>
      </c>
      <c r="I195" s="7"/>
    </row>
    <row r="196" spans="1:9" s="8" customFormat="1" ht="15" hidden="1">
      <c r="A196" s="6" t="s">
        <v>875</v>
      </c>
      <c r="B196" s="9" t="s">
        <v>24</v>
      </c>
      <c r="C196" s="9" t="s">
        <v>876</v>
      </c>
      <c r="D196" s="9"/>
      <c r="E196" s="15">
        <f t="shared" si="18"/>
        <v>0</v>
      </c>
      <c r="F196" s="15">
        <f t="shared" si="14"/>
        <v>0</v>
      </c>
      <c r="G196" s="16">
        <f t="shared" si="15"/>
        <v>0</v>
      </c>
      <c r="H196" s="17">
        <f t="shared" si="16"/>
        <v>0</v>
      </c>
      <c r="I196" s="7"/>
    </row>
    <row r="197" spans="1:9" s="8" customFormat="1" ht="15" hidden="1">
      <c r="A197" s="6" t="s">
        <v>313</v>
      </c>
      <c r="B197" s="9" t="s">
        <v>24</v>
      </c>
      <c r="C197" s="9" t="s">
        <v>113</v>
      </c>
      <c r="D197" s="9"/>
      <c r="E197" s="15">
        <f t="shared" si="18"/>
        <v>0</v>
      </c>
      <c r="F197" s="15">
        <f t="shared" si="14"/>
        <v>0</v>
      </c>
      <c r="G197" s="16">
        <f t="shared" si="15"/>
        <v>0</v>
      </c>
      <c r="H197" s="17">
        <f t="shared" si="16"/>
        <v>0</v>
      </c>
      <c r="I197" s="7"/>
    </row>
    <row r="198" spans="1:9" s="8" customFormat="1" ht="15" hidden="1">
      <c r="A198" s="6" t="s">
        <v>314</v>
      </c>
      <c r="B198" s="9" t="s">
        <v>24</v>
      </c>
      <c r="C198" s="9" t="s">
        <v>114</v>
      </c>
      <c r="D198" s="9"/>
      <c r="E198" s="15">
        <f t="shared" si="18"/>
        <v>0</v>
      </c>
      <c r="F198" s="15">
        <f t="shared" si="14"/>
        <v>0</v>
      </c>
      <c r="G198" s="16">
        <f t="shared" si="15"/>
        <v>0</v>
      </c>
      <c r="H198" s="17">
        <f t="shared" si="16"/>
        <v>0</v>
      </c>
      <c r="I198" s="7"/>
    </row>
    <row r="199" spans="1:9" s="8" customFormat="1" ht="15" hidden="1">
      <c r="A199" s="13" t="s">
        <v>315</v>
      </c>
      <c r="B199" s="9" t="s">
        <v>24</v>
      </c>
      <c r="C199" s="9" t="s">
        <v>115</v>
      </c>
      <c r="D199" s="9"/>
      <c r="E199" s="15">
        <f t="shared" si="18"/>
        <v>0</v>
      </c>
      <c r="F199" s="15">
        <f t="shared" si="14"/>
        <v>0</v>
      </c>
      <c r="G199" s="16">
        <f t="shared" si="15"/>
        <v>0</v>
      </c>
      <c r="H199" s="17">
        <f t="shared" si="16"/>
        <v>0</v>
      </c>
      <c r="I199" s="7"/>
    </row>
    <row r="200" spans="1:9" s="8" customFormat="1" ht="15" hidden="1">
      <c r="A200" s="6" t="s">
        <v>316</v>
      </c>
      <c r="B200" s="9" t="s">
        <v>826</v>
      </c>
      <c r="C200" s="9" t="s">
        <v>600</v>
      </c>
      <c r="D200" s="9"/>
      <c r="E200" s="15">
        <f t="shared" si="18"/>
        <v>0</v>
      </c>
      <c r="F200" s="15">
        <f t="shared" si="14"/>
        <v>0</v>
      </c>
      <c r="G200" s="16">
        <f t="shared" si="15"/>
        <v>0</v>
      </c>
      <c r="H200" s="17">
        <f t="shared" si="16"/>
        <v>0</v>
      </c>
      <c r="I200" s="7"/>
    </row>
    <row r="201" spans="1:9" s="8" customFormat="1" ht="15" hidden="1">
      <c r="A201" s="6" t="s">
        <v>317</v>
      </c>
      <c r="B201" s="9" t="s">
        <v>826</v>
      </c>
      <c r="C201" s="9" t="s">
        <v>601</v>
      </c>
      <c r="D201" s="9"/>
      <c r="E201" s="15">
        <f t="shared" si="18"/>
        <v>0</v>
      </c>
      <c r="F201" s="15">
        <f t="shared" si="14"/>
        <v>0</v>
      </c>
      <c r="G201" s="16">
        <f t="shared" si="15"/>
        <v>0</v>
      </c>
      <c r="H201" s="17">
        <f t="shared" si="16"/>
        <v>0</v>
      </c>
      <c r="I201" s="7"/>
    </row>
    <row r="202" spans="1:9" s="8" customFormat="1" ht="15" hidden="1">
      <c r="A202" s="6" t="s">
        <v>318</v>
      </c>
      <c r="B202" s="9" t="s">
        <v>826</v>
      </c>
      <c r="C202" s="9" t="s">
        <v>602</v>
      </c>
      <c r="D202" s="9"/>
      <c r="E202" s="15">
        <f t="shared" si="18"/>
        <v>0</v>
      </c>
      <c r="F202" s="15">
        <f t="shared" si="14"/>
        <v>0</v>
      </c>
      <c r="G202" s="16">
        <f t="shared" si="15"/>
        <v>0</v>
      </c>
      <c r="H202" s="17">
        <f t="shared" si="16"/>
        <v>0</v>
      </c>
      <c r="I202" s="7"/>
    </row>
    <row r="203" spans="1:9" s="8" customFormat="1" ht="15" hidden="1">
      <c r="A203" s="18" t="s">
        <v>944</v>
      </c>
      <c r="B203" s="9" t="s">
        <v>826</v>
      </c>
      <c r="C203" s="9" t="s">
        <v>945</v>
      </c>
      <c r="D203" s="9"/>
      <c r="E203" s="15">
        <f t="shared" si="18"/>
        <v>0</v>
      </c>
      <c r="F203" s="15">
        <f t="shared" si="14"/>
        <v>0</v>
      </c>
      <c r="G203" s="16">
        <f t="shared" si="15"/>
        <v>0</v>
      </c>
      <c r="H203" s="17">
        <f t="shared" si="16"/>
        <v>0</v>
      </c>
      <c r="I203" s="7"/>
    </row>
    <row r="204" spans="1:9" s="8" customFormat="1" ht="15" hidden="1">
      <c r="A204" s="18" t="s">
        <v>946</v>
      </c>
      <c r="B204" s="9" t="s">
        <v>826</v>
      </c>
      <c r="C204" s="9" t="s">
        <v>947</v>
      </c>
      <c r="D204" s="9"/>
      <c r="E204" s="15">
        <f t="shared" si="18"/>
        <v>0</v>
      </c>
      <c r="F204" s="15">
        <f t="shared" si="14"/>
        <v>0</v>
      </c>
      <c r="G204" s="16">
        <f t="shared" si="15"/>
        <v>0</v>
      </c>
      <c r="H204" s="17">
        <f t="shared" si="16"/>
        <v>0</v>
      </c>
      <c r="I204" s="7"/>
    </row>
    <row r="205" spans="1:9" s="8" customFormat="1" ht="15" hidden="1">
      <c r="A205" s="6" t="s">
        <v>948</v>
      </c>
      <c r="B205" s="9" t="s">
        <v>826</v>
      </c>
      <c r="C205" s="9" t="s">
        <v>949</v>
      </c>
      <c r="D205" s="9"/>
      <c r="E205" s="15">
        <f t="shared" si="18"/>
        <v>0</v>
      </c>
      <c r="F205" s="15">
        <f t="shared" si="14"/>
        <v>0</v>
      </c>
      <c r="G205" s="16">
        <f t="shared" si="15"/>
        <v>0</v>
      </c>
      <c r="H205" s="17">
        <f t="shared" si="16"/>
        <v>0</v>
      </c>
      <c r="I205" s="7"/>
    </row>
    <row r="206" spans="1:9" s="8" customFormat="1" ht="15" hidden="1">
      <c r="A206" s="6" t="s">
        <v>950</v>
      </c>
      <c r="B206" s="9" t="s">
        <v>826</v>
      </c>
      <c r="C206" s="9" t="s">
        <v>951</v>
      </c>
      <c r="D206" s="9"/>
      <c r="E206" s="15">
        <f t="shared" si="18"/>
        <v>0</v>
      </c>
      <c r="F206" s="15">
        <f t="shared" si="14"/>
        <v>0</v>
      </c>
      <c r="G206" s="16">
        <f t="shared" si="15"/>
        <v>0</v>
      </c>
      <c r="H206" s="17">
        <f t="shared" si="16"/>
        <v>0</v>
      </c>
      <c r="I206" s="7"/>
    </row>
    <row r="207" spans="1:9" s="8" customFormat="1" ht="15" hidden="1">
      <c r="A207" s="6" t="s">
        <v>952</v>
      </c>
      <c r="B207" s="9" t="s">
        <v>826</v>
      </c>
      <c r="C207" s="9" t="s">
        <v>953</v>
      </c>
      <c r="D207" s="9"/>
      <c r="E207" s="15">
        <f t="shared" si="18"/>
        <v>0</v>
      </c>
      <c r="F207" s="15">
        <f t="shared" si="14"/>
        <v>0</v>
      </c>
      <c r="G207" s="16">
        <f t="shared" si="15"/>
        <v>0</v>
      </c>
      <c r="H207" s="17">
        <f t="shared" si="16"/>
        <v>0</v>
      </c>
      <c r="I207" s="7"/>
    </row>
    <row r="208" spans="1:9" s="8" customFormat="1" ht="15" hidden="1">
      <c r="A208" s="6" t="s">
        <v>954</v>
      </c>
      <c r="B208" s="9" t="s">
        <v>826</v>
      </c>
      <c r="C208" s="9" t="s">
        <v>955</v>
      </c>
      <c r="D208" s="9"/>
      <c r="E208" s="15">
        <f t="shared" si="18"/>
        <v>0</v>
      </c>
      <c r="F208" s="15">
        <f t="shared" si="14"/>
        <v>0</v>
      </c>
      <c r="G208" s="16">
        <f t="shared" si="15"/>
        <v>0</v>
      </c>
      <c r="H208" s="17">
        <f t="shared" si="16"/>
        <v>0</v>
      </c>
      <c r="I208" s="7"/>
    </row>
    <row r="209" spans="1:9" s="8" customFormat="1" ht="15" hidden="1">
      <c r="A209" s="6" t="s">
        <v>956</v>
      </c>
      <c r="B209" s="9" t="s">
        <v>826</v>
      </c>
      <c r="C209" s="9" t="s">
        <v>957</v>
      </c>
      <c r="D209" s="9"/>
      <c r="E209" s="15">
        <f t="shared" si="18"/>
        <v>0</v>
      </c>
      <c r="F209" s="15">
        <f t="shared" si="14"/>
        <v>0</v>
      </c>
      <c r="G209" s="16">
        <f t="shared" si="15"/>
        <v>0</v>
      </c>
      <c r="H209" s="17">
        <f t="shared" si="16"/>
        <v>0</v>
      </c>
      <c r="I209" s="7"/>
    </row>
    <row r="210" spans="1:9" s="8" customFormat="1" ht="15" hidden="1">
      <c r="A210" s="6" t="s">
        <v>958</v>
      </c>
      <c r="B210" s="9" t="s">
        <v>826</v>
      </c>
      <c r="C210" s="9" t="s">
        <v>959</v>
      </c>
      <c r="D210" s="9"/>
      <c r="E210" s="15">
        <f t="shared" si="18"/>
        <v>0</v>
      </c>
      <c r="F210" s="15">
        <f t="shared" si="14"/>
        <v>0</v>
      </c>
      <c r="G210" s="16">
        <f t="shared" si="15"/>
        <v>0</v>
      </c>
      <c r="H210" s="17">
        <f t="shared" si="16"/>
        <v>0</v>
      </c>
      <c r="I210" s="7"/>
    </row>
    <row r="211" spans="1:9" s="8" customFormat="1" ht="15" hidden="1">
      <c r="A211" s="6" t="s">
        <v>961</v>
      </c>
      <c r="B211" s="9" t="s">
        <v>826</v>
      </c>
      <c r="C211" s="9" t="s">
        <v>960</v>
      </c>
      <c r="D211" s="9"/>
      <c r="E211" s="15">
        <f t="shared" si="18"/>
        <v>0</v>
      </c>
      <c r="F211" s="15">
        <f t="shared" si="14"/>
        <v>0</v>
      </c>
      <c r="G211" s="16">
        <f t="shared" si="15"/>
        <v>0</v>
      </c>
      <c r="H211" s="17">
        <f t="shared" si="16"/>
        <v>0</v>
      </c>
      <c r="I211" s="7"/>
    </row>
    <row r="212" spans="1:9" s="8" customFormat="1" ht="15" hidden="1">
      <c r="A212" s="6" t="s">
        <v>968</v>
      </c>
      <c r="B212" s="9" t="s">
        <v>826</v>
      </c>
      <c r="C212" s="9" t="s">
        <v>969</v>
      </c>
      <c r="D212" s="9"/>
      <c r="E212" s="15">
        <f t="shared" si="18"/>
        <v>0</v>
      </c>
      <c r="F212" s="15">
        <f t="shared" si="14"/>
        <v>0</v>
      </c>
      <c r="G212" s="16">
        <f t="shared" si="15"/>
        <v>0</v>
      </c>
      <c r="H212" s="17">
        <f t="shared" si="16"/>
        <v>0</v>
      </c>
      <c r="I212" s="7"/>
    </row>
    <row r="213" spans="1:9" s="8" customFormat="1" ht="15" hidden="1">
      <c r="A213" s="6" t="s">
        <v>962</v>
      </c>
      <c r="B213" s="9" t="s">
        <v>826</v>
      </c>
      <c r="C213" s="9" t="s">
        <v>963</v>
      </c>
      <c r="D213" s="9"/>
      <c r="E213" s="15">
        <f t="shared" si="18"/>
        <v>0</v>
      </c>
      <c r="F213" s="15">
        <f t="shared" si="14"/>
        <v>0</v>
      </c>
      <c r="G213" s="16">
        <f t="shared" si="15"/>
        <v>0</v>
      </c>
      <c r="H213" s="17">
        <f t="shared" si="16"/>
        <v>0</v>
      </c>
      <c r="I213" s="7"/>
    </row>
    <row r="214" spans="1:9" s="8" customFormat="1" ht="15" hidden="1">
      <c r="A214" s="6" t="s">
        <v>965</v>
      </c>
      <c r="B214" s="9" t="s">
        <v>826</v>
      </c>
      <c r="C214" s="9" t="s">
        <v>964</v>
      </c>
      <c r="D214" s="9"/>
      <c r="E214" s="15">
        <f t="shared" si="18"/>
        <v>0</v>
      </c>
      <c r="F214" s="15">
        <f t="shared" si="14"/>
        <v>0</v>
      </c>
      <c r="G214" s="16">
        <f t="shared" si="15"/>
        <v>0</v>
      </c>
      <c r="H214" s="17">
        <f t="shared" si="16"/>
        <v>0</v>
      </c>
      <c r="I214" s="7"/>
    </row>
    <row r="215" spans="1:9" s="8" customFormat="1" ht="15" hidden="1">
      <c r="A215" s="6" t="s">
        <v>966</v>
      </c>
      <c r="B215" s="9" t="s">
        <v>826</v>
      </c>
      <c r="C215" s="9" t="s">
        <v>967</v>
      </c>
      <c r="D215" s="9"/>
      <c r="E215" s="15">
        <f t="shared" si="18"/>
        <v>0</v>
      </c>
      <c r="F215" s="15">
        <f t="shared" si="14"/>
        <v>0</v>
      </c>
      <c r="G215" s="16">
        <f t="shared" si="15"/>
        <v>0</v>
      </c>
      <c r="H215" s="17">
        <f t="shared" si="16"/>
        <v>0</v>
      </c>
      <c r="I215" s="7"/>
    </row>
    <row r="216" spans="1:9" s="8" customFormat="1" ht="15" hidden="1">
      <c r="A216" s="6" t="s">
        <v>974</v>
      </c>
      <c r="B216" s="9" t="s">
        <v>826</v>
      </c>
      <c r="C216" s="9" t="s">
        <v>975</v>
      </c>
      <c r="D216" s="9"/>
      <c r="E216" s="15">
        <f t="shared" si="18"/>
        <v>0</v>
      </c>
      <c r="F216" s="15">
        <f t="shared" si="14"/>
        <v>0</v>
      </c>
      <c r="G216" s="16">
        <f t="shared" si="15"/>
        <v>0</v>
      </c>
      <c r="H216" s="17">
        <f t="shared" si="16"/>
        <v>0</v>
      </c>
      <c r="I216" s="10"/>
    </row>
    <row r="217" spans="1:9" s="8" customFormat="1" ht="15" hidden="1">
      <c r="A217" s="6" t="s">
        <v>977</v>
      </c>
      <c r="B217" s="9" t="s">
        <v>826</v>
      </c>
      <c r="C217" s="9" t="s">
        <v>976</v>
      </c>
      <c r="D217" s="9"/>
      <c r="E217" s="15">
        <f t="shared" si="18"/>
        <v>0</v>
      </c>
      <c r="F217" s="15">
        <f t="shared" si="14"/>
        <v>0</v>
      </c>
      <c r="G217" s="16">
        <f t="shared" si="15"/>
        <v>0</v>
      </c>
      <c r="H217" s="17">
        <f t="shared" si="16"/>
        <v>0</v>
      </c>
      <c r="I217" s="10"/>
    </row>
    <row r="218" spans="1:9" s="8" customFormat="1" ht="15" hidden="1">
      <c r="A218" s="6" t="s">
        <v>979</v>
      </c>
      <c r="B218" s="9" t="s">
        <v>826</v>
      </c>
      <c r="C218" s="9" t="s">
        <v>978</v>
      </c>
      <c r="D218" s="9"/>
      <c r="E218" s="15">
        <f t="shared" si="18"/>
        <v>0</v>
      </c>
      <c r="F218" s="15">
        <f t="shared" si="14"/>
        <v>0</v>
      </c>
      <c r="G218" s="16">
        <f t="shared" si="15"/>
        <v>0</v>
      </c>
      <c r="H218" s="17">
        <f t="shared" si="16"/>
        <v>0</v>
      </c>
      <c r="I218" s="10"/>
    </row>
    <row r="219" spans="1:9" s="8" customFormat="1" ht="15" hidden="1">
      <c r="A219" s="6" t="s">
        <v>31</v>
      </c>
      <c r="B219" s="9" t="s">
        <v>826</v>
      </c>
      <c r="C219" s="9" t="s">
        <v>32</v>
      </c>
      <c r="D219" s="9"/>
      <c r="E219" s="15">
        <f t="shared" si="18"/>
        <v>0</v>
      </c>
      <c r="F219" s="15">
        <f aca="true" t="shared" si="19" ref="F219:F282">(E219/0.7)*1.21</f>
        <v>0</v>
      </c>
      <c r="G219" s="16">
        <f aca="true" t="shared" si="20" ref="G219:G282">ROUND((F219/1.21)*1.21*$I$1,-1)</f>
        <v>0</v>
      </c>
      <c r="H219" s="17">
        <f aca="true" t="shared" si="21" ref="H219:H282">(F219/1.21)*1.21*$I$1*0.7</f>
        <v>0</v>
      </c>
      <c r="I219" s="7"/>
    </row>
    <row r="220" spans="1:9" s="8" customFormat="1" ht="15" hidden="1">
      <c r="A220" s="6" t="s">
        <v>33</v>
      </c>
      <c r="B220" s="9" t="s">
        <v>826</v>
      </c>
      <c r="C220" s="9" t="s">
        <v>34</v>
      </c>
      <c r="D220" s="9"/>
      <c r="E220" s="15">
        <f t="shared" si="18"/>
        <v>0</v>
      </c>
      <c r="F220" s="15">
        <f t="shared" si="19"/>
        <v>0</v>
      </c>
      <c r="G220" s="16">
        <f t="shared" si="20"/>
        <v>0</v>
      </c>
      <c r="H220" s="17">
        <f t="shared" si="21"/>
        <v>0</v>
      </c>
      <c r="I220" s="7"/>
    </row>
    <row r="221" spans="1:9" s="8" customFormat="1" ht="15" hidden="1">
      <c r="A221" s="6" t="s">
        <v>35</v>
      </c>
      <c r="B221" s="9" t="s">
        <v>826</v>
      </c>
      <c r="C221" s="9" t="s">
        <v>36</v>
      </c>
      <c r="D221" s="9"/>
      <c r="E221" s="15">
        <f t="shared" si="18"/>
        <v>0</v>
      </c>
      <c r="F221" s="15">
        <f t="shared" si="19"/>
        <v>0</v>
      </c>
      <c r="G221" s="16">
        <f t="shared" si="20"/>
        <v>0</v>
      </c>
      <c r="H221" s="17">
        <f t="shared" si="21"/>
        <v>0</v>
      </c>
      <c r="I221" s="7"/>
    </row>
    <row r="222" spans="1:9" s="8" customFormat="1" ht="15" hidden="1">
      <c r="A222" s="6" t="s">
        <v>37</v>
      </c>
      <c r="B222" s="9" t="s">
        <v>826</v>
      </c>
      <c r="C222" s="9" t="s">
        <v>38</v>
      </c>
      <c r="D222" s="9"/>
      <c r="E222" s="15">
        <f t="shared" si="18"/>
        <v>0</v>
      </c>
      <c r="F222" s="15">
        <f t="shared" si="19"/>
        <v>0</v>
      </c>
      <c r="G222" s="16">
        <f t="shared" si="20"/>
        <v>0</v>
      </c>
      <c r="H222" s="17">
        <f t="shared" si="21"/>
        <v>0</v>
      </c>
      <c r="I222" s="7"/>
    </row>
    <row r="223" spans="1:9" s="8" customFormat="1" ht="15" hidden="1">
      <c r="A223" s="6" t="s">
        <v>319</v>
      </c>
      <c r="B223" s="9" t="s">
        <v>826</v>
      </c>
      <c r="C223" s="9" t="s">
        <v>732</v>
      </c>
      <c r="D223" s="9"/>
      <c r="E223" s="15">
        <f t="shared" si="18"/>
        <v>0</v>
      </c>
      <c r="F223" s="15">
        <f t="shared" si="19"/>
        <v>0</v>
      </c>
      <c r="G223" s="16">
        <f t="shared" si="20"/>
        <v>0</v>
      </c>
      <c r="H223" s="17">
        <f t="shared" si="21"/>
        <v>0</v>
      </c>
      <c r="I223" s="7"/>
    </row>
    <row r="224" spans="1:9" s="8" customFormat="1" ht="15" hidden="1">
      <c r="A224" s="6" t="s">
        <v>320</v>
      </c>
      <c r="B224" s="9" t="s">
        <v>826</v>
      </c>
      <c r="C224" s="9" t="s">
        <v>731</v>
      </c>
      <c r="D224" s="9"/>
      <c r="E224" s="15">
        <f t="shared" si="18"/>
        <v>0</v>
      </c>
      <c r="F224" s="15">
        <f t="shared" si="19"/>
        <v>0</v>
      </c>
      <c r="G224" s="16">
        <f t="shared" si="20"/>
        <v>0</v>
      </c>
      <c r="H224" s="17">
        <f t="shared" si="21"/>
        <v>0</v>
      </c>
      <c r="I224" s="7"/>
    </row>
    <row r="225" spans="1:9" s="8" customFormat="1" ht="15" hidden="1">
      <c r="A225" s="6" t="s">
        <v>321</v>
      </c>
      <c r="B225" s="9" t="s">
        <v>826</v>
      </c>
      <c r="C225" s="9" t="s">
        <v>733</v>
      </c>
      <c r="D225" s="9"/>
      <c r="E225" s="15">
        <f t="shared" si="18"/>
        <v>0</v>
      </c>
      <c r="F225" s="15">
        <f t="shared" si="19"/>
        <v>0</v>
      </c>
      <c r="G225" s="16">
        <f t="shared" si="20"/>
        <v>0</v>
      </c>
      <c r="H225" s="17">
        <f t="shared" si="21"/>
        <v>0</v>
      </c>
      <c r="I225" s="7"/>
    </row>
    <row r="226" spans="1:9" s="8" customFormat="1" ht="15" hidden="1">
      <c r="A226" s="6" t="s">
        <v>322</v>
      </c>
      <c r="B226" s="9" t="s">
        <v>826</v>
      </c>
      <c r="C226" s="9" t="s">
        <v>734</v>
      </c>
      <c r="D226" s="9"/>
      <c r="E226" s="15">
        <f t="shared" si="18"/>
        <v>0</v>
      </c>
      <c r="F226" s="15">
        <f t="shared" si="19"/>
        <v>0</v>
      </c>
      <c r="G226" s="16">
        <f t="shared" si="20"/>
        <v>0</v>
      </c>
      <c r="H226" s="17">
        <f t="shared" si="21"/>
        <v>0</v>
      </c>
      <c r="I226" s="7"/>
    </row>
    <row r="227" spans="1:9" s="8" customFormat="1" ht="15" hidden="1">
      <c r="A227" s="6" t="s">
        <v>323</v>
      </c>
      <c r="B227" s="9" t="s">
        <v>826</v>
      </c>
      <c r="C227" s="9" t="s">
        <v>735</v>
      </c>
      <c r="D227" s="9"/>
      <c r="E227" s="15">
        <f t="shared" si="18"/>
        <v>0</v>
      </c>
      <c r="F227" s="15">
        <f t="shared" si="19"/>
        <v>0</v>
      </c>
      <c r="G227" s="16">
        <f t="shared" si="20"/>
        <v>0</v>
      </c>
      <c r="H227" s="17">
        <f t="shared" si="21"/>
        <v>0</v>
      </c>
      <c r="I227" s="7"/>
    </row>
    <row r="228" spans="1:9" s="8" customFormat="1" ht="15" hidden="1">
      <c r="A228" s="6" t="s">
        <v>324</v>
      </c>
      <c r="B228" s="9" t="s">
        <v>826</v>
      </c>
      <c r="C228" s="9" t="s">
        <v>736</v>
      </c>
      <c r="D228" s="9"/>
      <c r="E228" s="15">
        <f t="shared" si="18"/>
        <v>0</v>
      </c>
      <c r="F228" s="15">
        <f t="shared" si="19"/>
        <v>0</v>
      </c>
      <c r="G228" s="16">
        <f t="shared" si="20"/>
        <v>0</v>
      </c>
      <c r="H228" s="17">
        <f t="shared" si="21"/>
        <v>0</v>
      </c>
      <c r="I228" s="7"/>
    </row>
    <row r="229" spans="1:9" s="8" customFormat="1" ht="15" hidden="1">
      <c r="A229" s="6" t="s">
        <v>325</v>
      </c>
      <c r="B229" s="9" t="s">
        <v>826</v>
      </c>
      <c r="C229" s="9" t="s">
        <v>737</v>
      </c>
      <c r="D229" s="9"/>
      <c r="E229" s="15">
        <f t="shared" si="18"/>
        <v>0</v>
      </c>
      <c r="F229" s="15">
        <f t="shared" si="19"/>
        <v>0</v>
      </c>
      <c r="G229" s="16">
        <f t="shared" si="20"/>
        <v>0</v>
      </c>
      <c r="H229" s="17">
        <f t="shared" si="21"/>
        <v>0</v>
      </c>
      <c r="I229" s="7"/>
    </row>
    <row r="230" spans="1:9" s="8" customFormat="1" ht="15" hidden="1">
      <c r="A230" s="6" t="s">
        <v>326</v>
      </c>
      <c r="B230" s="9" t="s">
        <v>826</v>
      </c>
      <c r="C230" s="9" t="s">
        <v>738</v>
      </c>
      <c r="D230" s="9"/>
      <c r="E230" s="15">
        <f t="shared" si="18"/>
        <v>0</v>
      </c>
      <c r="F230" s="15">
        <f t="shared" si="19"/>
        <v>0</v>
      </c>
      <c r="G230" s="16">
        <f t="shared" si="20"/>
        <v>0</v>
      </c>
      <c r="H230" s="17">
        <f t="shared" si="21"/>
        <v>0</v>
      </c>
      <c r="I230" s="7"/>
    </row>
    <row r="231" spans="1:9" s="8" customFormat="1" ht="15" hidden="1">
      <c r="A231" s="6" t="s">
        <v>327</v>
      </c>
      <c r="B231" s="9" t="s">
        <v>826</v>
      </c>
      <c r="C231" s="9" t="s">
        <v>739</v>
      </c>
      <c r="D231" s="9"/>
      <c r="E231" s="15">
        <f t="shared" si="18"/>
        <v>0</v>
      </c>
      <c r="F231" s="15">
        <f t="shared" si="19"/>
        <v>0</v>
      </c>
      <c r="G231" s="16">
        <f t="shared" si="20"/>
        <v>0</v>
      </c>
      <c r="H231" s="17">
        <f t="shared" si="21"/>
        <v>0</v>
      </c>
      <c r="I231" s="7"/>
    </row>
    <row r="232" spans="1:9" s="8" customFormat="1" ht="15" hidden="1">
      <c r="A232" s="6" t="s">
        <v>334</v>
      </c>
      <c r="B232" s="9" t="s">
        <v>826</v>
      </c>
      <c r="C232" s="9" t="s">
        <v>740</v>
      </c>
      <c r="D232" s="9"/>
      <c r="E232" s="15">
        <f t="shared" si="18"/>
        <v>0</v>
      </c>
      <c r="F232" s="15">
        <f t="shared" si="19"/>
        <v>0</v>
      </c>
      <c r="G232" s="16">
        <f t="shared" si="20"/>
        <v>0</v>
      </c>
      <c r="H232" s="17">
        <f t="shared" si="21"/>
        <v>0</v>
      </c>
      <c r="I232" s="7"/>
    </row>
    <row r="233" spans="1:9" s="8" customFormat="1" ht="15" hidden="1">
      <c r="A233" s="6" t="s">
        <v>335</v>
      </c>
      <c r="B233" s="9" t="s">
        <v>826</v>
      </c>
      <c r="C233" s="9" t="s">
        <v>741</v>
      </c>
      <c r="D233" s="9"/>
      <c r="E233" s="15">
        <f t="shared" si="18"/>
        <v>0</v>
      </c>
      <c r="F233" s="15">
        <f t="shared" si="19"/>
        <v>0</v>
      </c>
      <c r="G233" s="16">
        <f t="shared" si="20"/>
        <v>0</v>
      </c>
      <c r="H233" s="17">
        <f t="shared" si="21"/>
        <v>0</v>
      </c>
      <c r="I233" s="7"/>
    </row>
    <row r="234" spans="1:9" s="8" customFormat="1" ht="15" hidden="1">
      <c r="A234" s="6" t="s">
        <v>336</v>
      </c>
      <c r="B234" s="9" t="s">
        <v>826</v>
      </c>
      <c r="C234" s="9" t="s">
        <v>742</v>
      </c>
      <c r="D234" s="9"/>
      <c r="E234" s="15">
        <f t="shared" si="18"/>
        <v>0</v>
      </c>
      <c r="F234" s="15">
        <f t="shared" si="19"/>
        <v>0</v>
      </c>
      <c r="G234" s="16">
        <f t="shared" si="20"/>
        <v>0</v>
      </c>
      <c r="H234" s="17">
        <f t="shared" si="21"/>
        <v>0</v>
      </c>
      <c r="I234" s="7"/>
    </row>
    <row r="235" spans="1:9" s="8" customFormat="1" ht="15" hidden="1">
      <c r="A235" s="6" t="s">
        <v>337</v>
      </c>
      <c r="B235" s="9" t="s">
        <v>826</v>
      </c>
      <c r="C235" s="9" t="s">
        <v>743</v>
      </c>
      <c r="D235" s="9"/>
      <c r="E235" s="15">
        <f t="shared" si="18"/>
        <v>0</v>
      </c>
      <c r="F235" s="15">
        <f t="shared" si="19"/>
        <v>0</v>
      </c>
      <c r="G235" s="16">
        <f t="shared" si="20"/>
        <v>0</v>
      </c>
      <c r="H235" s="17">
        <f t="shared" si="21"/>
        <v>0</v>
      </c>
      <c r="I235" s="7"/>
    </row>
    <row r="236" spans="1:9" s="8" customFormat="1" ht="15" hidden="1">
      <c r="A236" s="6" t="s">
        <v>328</v>
      </c>
      <c r="B236" s="9" t="s">
        <v>826</v>
      </c>
      <c r="C236" s="9" t="s">
        <v>744</v>
      </c>
      <c r="D236" s="9"/>
      <c r="E236" s="15">
        <f t="shared" si="18"/>
        <v>0</v>
      </c>
      <c r="F236" s="15">
        <f t="shared" si="19"/>
        <v>0</v>
      </c>
      <c r="G236" s="16">
        <f t="shared" si="20"/>
        <v>0</v>
      </c>
      <c r="H236" s="17">
        <f t="shared" si="21"/>
        <v>0</v>
      </c>
      <c r="I236" s="7"/>
    </row>
    <row r="237" spans="1:9" s="8" customFormat="1" ht="15" hidden="1">
      <c r="A237" s="6" t="s">
        <v>329</v>
      </c>
      <c r="B237" s="9" t="s">
        <v>826</v>
      </c>
      <c r="C237" s="9" t="s">
        <v>745</v>
      </c>
      <c r="D237" s="9"/>
      <c r="E237" s="15">
        <f t="shared" si="18"/>
        <v>0</v>
      </c>
      <c r="F237" s="15">
        <f t="shared" si="19"/>
        <v>0</v>
      </c>
      <c r="G237" s="16">
        <f t="shared" si="20"/>
        <v>0</v>
      </c>
      <c r="H237" s="17">
        <f t="shared" si="21"/>
        <v>0</v>
      </c>
      <c r="I237" s="7"/>
    </row>
    <row r="238" spans="1:9" s="8" customFormat="1" ht="15" hidden="1">
      <c r="A238" s="6" t="s">
        <v>330</v>
      </c>
      <c r="B238" s="9" t="s">
        <v>826</v>
      </c>
      <c r="C238" s="9" t="s">
        <v>746</v>
      </c>
      <c r="D238" s="9"/>
      <c r="E238" s="15">
        <f t="shared" si="18"/>
        <v>0</v>
      </c>
      <c r="F238" s="15">
        <f t="shared" si="19"/>
        <v>0</v>
      </c>
      <c r="G238" s="16">
        <f t="shared" si="20"/>
        <v>0</v>
      </c>
      <c r="H238" s="17">
        <f t="shared" si="21"/>
        <v>0</v>
      </c>
      <c r="I238" s="7"/>
    </row>
    <row r="239" spans="1:9" s="8" customFormat="1" ht="15" hidden="1">
      <c r="A239" s="6" t="s">
        <v>331</v>
      </c>
      <c r="B239" s="9" t="s">
        <v>826</v>
      </c>
      <c r="C239" s="9" t="s">
        <v>753</v>
      </c>
      <c r="D239" s="9"/>
      <c r="E239" s="15">
        <f t="shared" si="18"/>
        <v>0</v>
      </c>
      <c r="F239" s="15">
        <f t="shared" si="19"/>
        <v>0</v>
      </c>
      <c r="G239" s="16">
        <f t="shared" si="20"/>
        <v>0</v>
      </c>
      <c r="H239" s="17">
        <f t="shared" si="21"/>
        <v>0</v>
      </c>
      <c r="I239" s="7"/>
    </row>
    <row r="240" spans="1:9" s="8" customFormat="1" ht="15" hidden="1">
      <c r="A240" s="6" t="s">
        <v>332</v>
      </c>
      <c r="B240" s="9" t="s">
        <v>826</v>
      </c>
      <c r="C240" s="9" t="s">
        <v>754</v>
      </c>
      <c r="D240" s="9"/>
      <c r="E240" s="15">
        <f t="shared" si="18"/>
        <v>0</v>
      </c>
      <c r="F240" s="15">
        <f t="shared" si="19"/>
        <v>0</v>
      </c>
      <c r="G240" s="16">
        <f t="shared" si="20"/>
        <v>0</v>
      </c>
      <c r="H240" s="17">
        <f t="shared" si="21"/>
        <v>0</v>
      </c>
      <c r="I240" s="7"/>
    </row>
    <row r="241" spans="1:9" s="8" customFormat="1" ht="15" hidden="1">
      <c r="A241" s="6" t="s">
        <v>333</v>
      </c>
      <c r="B241" s="9" t="s">
        <v>826</v>
      </c>
      <c r="C241" s="9" t="s">
        <v>755</v>
      </c>
      <c r="D241" s="9"/>
      <c r="E241" s="15">
        <f t="shared" si="18"/>
        <v>0</v>
      </c>
      <c r="F241" s="15">
        <f t="shared" si="19"/>
        <v>0</v>
      </c>
      <c r="G241" s="16">
        <f t="shared" si="20"/>
        <v>0</v>
      </c>
      <c r="H241" s="17">
        <f t="shared" si="21"/>
        <v>0</v>
      </c>
      <c r="I241" s="7"/>
    </row>
    <row r="242" spans="1:9" s="8" customFormat="1" ht="15" hidden="1">
      <c r="A242" s="6" t="s">
        <v>338</v>
      </c>
      <c r="B242" s="9" t="s">
        <v>826</v>
      </c>
      <c r="C242" s="9" t="s">
        <v>747</v>
      </c>
      <c r="D242" s="9"/>
      <c r="E242" s="15">
        <f t="shared" si="18"/>
        <v>0</v>
      </c>
      <c r="F242" s="15">
        <f t="shared" si="19"/>
        <v>0</v>
      </c>
      <c r="G242" s="16">
        <f t="shared" si="20"/>
        <v>0</v>
      </c>
      <c r="H242" s="17">
        <f t="shared" si="21"/>
        <v>0</v>
      </c>
      <c r="I242" s="7"/>
    </row>
    <row r="243" spans="1:9" s="8" customFormat="1" ht="15" hidden="1">
      <c r="A243" s="6" t="s">
        <v>339</v>
      </c>
      <c r="B243" s="9" t="s">
        <v>826</v>
      </c>
      <c r="C243" s="9" t="s">
        <v>748</v>
      </c>
      <c r="D243" s="9"/>
      <c r="E243" s="15">
        <f t="shared" si="18"/>
        <v>0</v>
      </c>
      <c r="F243" s="15">
        <f t="shared" si="19"/>
        <v>0</v>
      </c>
      <c r="G243" s="16">
        <f t="shared" si="20"/>
        <v>0</v>
      </c>
      <c r="H243" s="17">
        <f t="shared" si="21"/>
        <v>0</v>
      </c>
      <c r="I243" s="7"/>
    </row>
    <row r="244" spans="1:9" s="8" customFormat="1" ht="15" hidden="1">
      <c r="A244" s="6" t="s">
        <v>340</v>
      </c>
      <c r="B244" s="9" t="s">
        <v>826</v>
      </c>
      <c r="C244" s="9" t="s">
        <v>749</v>
      </c>
      <c r="D244" s="9"/>
      <c r="E244" s="15">
        <f t="shared" si="18"/>
        <v>0</v>
      </c>
      <c r="F244" s="15">
        <f t="shared" si="19"/>
        <v>0</v>
      </c>
      <c r="G244" s="16">
        <f t="shared" si="20"/>
        <v>0</v>
      </c>
      <c r="H244" s="17">
        <f t="shared" si="21"/>
        <v>0</v>
      </c>
      <c r="I244" s="7"/>
    </row>
    <row r="245" spans="1:9" s="8" customFormat="1" ht="15" hidden="1">
      <c r="A245" s="6" t="s">
        <v>341</v>
      </c>
      <c r="B245" s="9" t="s">
        <v>826</v>
      </c>
      <c r="C245" s="9" t="s">
        <v>750</v>
      </c>
      <c r="D245" s="9"/>
      <c r="E245" s="15">
        <f t="shared" si="18"/>
        <v>0</v>
      </c>
      <c r="F245" s="15">
        <f t="shared" si="19"/>
        <v>0</v>
      </c>
      <c r="G245" s="16">
        <f t="shared" si="20"/>
        <v>0</v>
      </c>
      <c r="H245" s="17">
        <f t="shared" si="21"/>
        <v>0</v>
      </c>
      <c r="I245" s="7"/>
    </row>
    <row r="246" spans="1:9" s="8" customFormat="1" ht="15" hidden="1">
      <c r="A246" s="6" t="s">
        <v>342</v>
      </c>
      <c r="B246" s="9" t="s">
        <v>826</v>
      </c>
      <c r="C246" s="9" t="s">
        <v>751</v>
      </c>
      <c r="D246" s="9"/>
      <c r="E246" s="15">
        <f t="shared" si="18"/>
        <v>0</v>
      </c>
      <c r="F246" s="15">
        <f t="shared" si="19"/>
        <v>0</v>
      </c>
      <c r="G246" s="16">
        <f t="shared" si="20"/>
        <v>0</v>
      </c>
      <c r="H246" s="17">
        <f t="shared" si="21"/>
        <v>0</v>
      </c>
      <c r="I246" s="7"/>
    </row>
    <row r="247" spans="1:9" s="8" customFormat="1" ht="15" hidden="1">
      <c r="A247" s="6" t="s">
        <v>343</v>
      </c>
      <c r="B247" s="9" t="s">
        <v>826</v>
      </c>
      <c r="C247" s="9" t="s">
        <v>752</v>
      </c>
      <c r="D247" s="9"/>
      <c r="E247" s="15">
        <f t="shared" si="18"/>
        <v>0</v>
      </c>
      <c r="F247" s="15">
        <f t="shared" si="19"/>
        <v>0</v>
      </c>
      <c r="G247" s="16">
        <f t="shared" si="20"/>
        <v>0</v>
      </c>
      <c r="H247" s="17">
        <f t="shared" si="21"/>
        <v>0</v>
      </c>
      <c r="I247" s="7"/>
    </row>
    <row r="248" spans="1:9" s="8" customFormat="1" ht="15" hidden="1">
      <c r="A248" s="6" t="s">
        <v>344</v>
      </c>
      <c r="B248" s="9" t="s">
        <v>826</v>
      </c>
      <c r="C248" s="9" t="s">
        <v>756</v>
      </c>
      <c r="D248" s="9"/>
      <c r="E248" s="15">
        <f t="shared" si="18"/>
        <v>0</v>
      </c>
      <c r="F248" s="15">
        <f t="shared" si="19"/>
        <v>0</v>
      </c>
      <c r="G248" s="16">
        <f t="shared" si="20"/>
        <v>0</v>
      </c>
      <c r="H248" s="17">
        <f t="shared" si="21"/>
        <v>0</v>
      </c>
      <c r="I248" s="7"/>
    </row>
    <row r="249" spans="1:9" s="8" customFormat="1" ht="15" hidden="1">
      <c r="A249" s="6" t="s">
        <v>345</v>
      </c>
      <c r="B249" s="9" t="s">
        <v>826</v>
      </c>
      <c r="C249" s="9" t="s">
        <v>757</v>
      </c>
      <c r="D249" s="9"/>
      <c r="E249" s="15">
        <f t="shared" si="18"/>
        <v>0</v>
      </c>
      <c r="F249" s="15">
        <f t="shared" si="19"/>
        <v>0</v>
      </c>
      <c r="G249" s="16">
        <f t="shared" si="20"/>
        <v>0</v>
      </c>
      <c r="H249" s="17">
        <f t="shared" si="21"/>
        <v>0</v>
      </c>
      <c r="I249" s="7"/>
    </row>
    <row r="250" spans="1:9" s="8" customFormat="1" ht="15" hidden="1">
      <c r="A250" s="6" t="s">
        <v>346</v>
      </c>
      <c r="B250" s="9" t="s">
        <v>826</v>
      </c>
      <c r="C250" s="9" t="s">
        <v>758</v>
      </c>
      <c r="D250" s="9"/>
      <c r="E250" s="15">
        <f t="shared" si="18"/>
        <v>0</v>
      </c>
      <c r="F250" s="15">
        <f t="shared" si="19"/>
        <v>0</v>
      </c>
      <c r="G250" s="16">
        <f t="shared" si="20"/>
        <v>0</v>
      </c>
      <c r="H250" s="17">
        <f t="shared" si="21"/>
        <v>0</v>
      </c>
      <c r="I250" s="7"/>
    </row>
    <row r="251" spans="1:9" s="8" customFormat="1" ht="15" hidden="1">
      <c r="A251" s="6" t="s">
        <v>347</v>
      </c>
      <c r="B251" s="9" t="s">
        <v>826</v>
      </c>
      <c r="C251" s="9" t="s">
        <v>759</v>
      </c>
      <c r="D251" s="9"/>
      <c r="E251" s="15">
        <f t="shared" si="18"/>
        <v>0</v>
      </c>
      <c r="F251" s="15">
        <f t="shared" si="19"/>
        <v>0</v>
      </c>
      <c r="G251" s="16">
        <f t="shared" si="20"/>
        <v>0</v>
      </c>
      <c r="H251" s="17">
        <f t="shared" si="21"/>
        <v>0</v>
      </c>
      <c r="I251" s="7"/>
    </row>
    <row r="252" spans="1:9" s="8" customFormat="1" ht="15" hidden="1">
      <c r="A252" s="6" t="s">
        <v>348</v>
      </c>
      <c r="B252" s="9" t="s">
        <v>826</v>
      </c>
      <c r="C252" s="9" t="s">
        <v>760</v>
      </c>
      <c r="D252" s="9"/>
      <c r="E252" s="15">
        <f aca="true" t="shared" si="22" ref="E252:E272">D252/1.21</f>
        <v>0</v>
      </c>
      <c r="F252" s="15">
        <f t="shared" si="19"/>
        <v>0</v>
      </c>
      <c r="G252" s="16">
        <f t="shared" si="20"/>
        <v>0</v>
      </c>
      <c r="H252" s="17">
        <f t="shared" si="21"/>
        <v>0</v>
      </c>
      <c r="I252" s="7"/>
    </row>
    <row r="253" spans="1:9" s="8" customFormat="1" ht="15" hidden="1">
      <c r="A253" s="6" t="s">
        <v>349</v>
      </c>
      <c r="B253" s="9" t="s">
        <v>826</v>
      </c>
      <c r="C253" s="9" t="s">
        <v>761</v>
      </c>
      <c r="D253" s="9"/>
      <c r="E253" s="15">
        <f t="shared" si="22"/>
        <v>0</v>
      </c>
      <c r="F253" s="15">
        <f t="shared" si="19"/>
        <v>0</v>
      </c>
      <c r="G253" s="16">
        <f t="shared" si="20"/>
        <v>0</v>
      </c>
      <c r="H253" s="17">
        <f t="shared" si="21"/>
        <v>0</v>
      </c>
      <c r="I253" s="7"/>
    </row>
    <row r="254" spans="1:9" s="8" customFormat="1" ht="15" hidden="1">
      <c r="A254" s="6" t="s">
        <v>350</v>
      </c>
      <c r="B254" s="9" t="s">
        <v>826</v>
      </c>
      <c r="C254" s="9" t="s">
        <v>762</v>
      </c>
      <c r="D254" s="9"/>
      <c r="E254" s="15">
        <f t="shared" si="22"/>
        <v>0</v>
      </c>
      <c r="F254" s="15">
        <f t="shared" si="19"/>
        <v>0</v>
      </c>
      <c r="G254" s="16">
        <f t="shared" si="20"/>
        <v>0</v>
      </c>
      <c r="H254" s="17">
        <f t="shared" si="21"/>
        <v>0</v>
      </c>
      <c r="I254" s="7"/>
    </row>
    <row r="255" spans="1:9" s="8" customFormat="1" ht="15" hidden="1">
      <c r="A255" s="6" t="s">
        <v>351</v>
      </c>
      <c r="B255" s="9" t="s">
        <v>826</v>
      </c>
      <c r="C255" s="9" t="s">
        <v>763</v>
      </c>
      <c r="D255" s="9"/>
      <c r="E255" s="15">
        <f t="shared" si="22"/>
        <v>0</v>
      </c>
      <c r="F255" s="15">
        <f t="shared" si="19"/>
        <v>0</v>
      </c>
      <c r="G255" s="16">
        <f t="shared" si="20"/>
        <v>0</v>
      </c>
      <c r="H255" s="17">
        <f t="shared" si="21"/>
        <v>0</v>
      </c>
      <c r="I255" s="7"/>
    </row>
    <row r="256" spans="1:9" s="8" customFormat="1" ht="15" hidden="1">
      <c r="A256" s="6" t="s">
        <v>352</v>
      </c>
      <c r="B256" s="9" t="s">
        <v>826</v>
      </c>
      <c r="C256" s="9" t="s">
        <v>764</v>
      </c>
      <c r="D256" s="9"/>
      <c r="E256" s="15">
        <f t="shared" si="22"/>
        <v>0</v>
      </c>
      <c r="F256" s="15">
        <f t="shared" si="19"/>
        <v>0</v>
      </c>
      <c r="G256" s="16">
        <f t="shared" si="20"/>
        <v>0</v>
      </c>
      <c r="H256" s="17">
        <f t="shared" si="21"/>
        <v>0</v>
      </c>
      <c r="I256" s="7"/>
    </row>
    <row r="257" spans="1:9" s="8" customFormat="1" ht="15" hidden="1">
      <c r="A257" s="6" t="s">
        <v>353</v>
      </c>
      <c r="B257" s="9" t="s">
        <v>826</v>
      </c>
      <c r="C257" s="9" t="s">
        <v>766</v>
      </c>
      <c r="D257" s="9"/>
      <c r="E257" s="15">
        <f t="shared" si="22"/>
        <v>0</v>
      </c>
      <c r="F257" s="15">
        <f t="shared" si="19"/>
        <v>0</v>
      </c>
      <c r="G257" s="16">
        <f t="shared" si="20"/>
        <v>0</v>
      </c>
      <c r="H257" s="17">
        <f t="shared" si="21"/>
        <v>0</v>
      </c>
      <c r="I257" s="7"/>
    </row>
    <row r="258" spans="1:9" s="8" customFormat="1" ht="15" hidden="1">
      <c r="A258" s="6" t="s">
        <v>354</v>
      </c>
      <c r="B258" s="9" t="s">
        <v>826</v>
      </c>
      <c r="C258" s="9" t="s">
        <v>767</v>
      </c>
      <c r="D258" s="9"/>
      <c r="E258" s="15">
        <f t="shared" si="22"/>
        <v>0</v>
      </c>
      <c r="F258" s="15">
        <f t="shared" si="19"/>
        <v>0</v>
      </c>
      <c r="G258" s="16">
        <f t="shared" si="20"/>
        <v>0</v>
      </c>
      <c r="H258" s="17">
        <f t="shared" si="21"/>
        <v>0</v>
      </c>
      <c r="I258" s="7"/>
    </row>
    <row r="259" spans="1:9" s="8" customFormat="1" ht="15" hidden="1">
      <c r="A259" s="6" t="s">
        <v>877</v>
      </c>
      <c r="B259" s="9" t="s">
        <v>826</v>
      </c>
      <c r="C259" s="9" t="s">
        <v>878</v>
      </c>
      <c r="D259" s="9"/>
      <c r="E259" s="15">
        <f t="shared" si="22"/>
        <v>0</v>
      </c>
      <c r="F259" s="15">
        <f t="shared" si="19"/>
        <v>0</v>
      </c>
      <c r="G259" s="16">
        <f t="shared" si="20"/>
        <v>0</v>
      </c>
      <c r="H259" s="17">
        <f t="shared" si="21"/>
        <v>0</v>
      </c>
      <c r="I259" s="7"/>
    </row>
    <row r="260" spans="1:9" s="8" customFormat="1" ht="15" hidden="1">
      <c r="A260" s="6" t="s">
        <v>355</v>
      </c>
      <c r="B260" s="9" t="s">
        <v>826</v>
      </c>
      <c r="C260" s="9" t="s">
        <v>768</v>
      </c>
      <c r="D260" s="9"/>
      <c r="E260" s="15">
        <f t="shared" si="22"/>
        <v>0</v>
      </c>
      <c r="F260" s="15">
        <f t="shared" si="19"/>
        <v>0</v>
      </c>
      <c r="G260" s="16">
        <f t="shared" si="20"/>
        <v>0</v>
      </c>
      <c r="H260" s="17">
        <f t="shared" si="21"/>
        <v>0</v>
      </c>
      <c r="I260" s="7"/>
    </row>
    <row r="261" spans="1:9" s="8" customFormat="1" ht="15" hidden="1">
      <c r="A261" s="7" t="s">
        <v>40</v>
      </c>
      <c r="B261" s="7" t="s">
        <v>24</v>
      </c>
      <c r="C261" s="7" t="s">
        <v>46</v>
      </c>
      <c r="D261" s="7"/>
      <c r="E261" s="15">
        <f t="shared" si="22"/>
        <v>0</v>
      </c>
      <c r="F261" s="15">
        <f t="shared" si="19"/>
        <v>0</v>
      </c>
      <c r="G261" s="16">
        <f t="shared" si="20"/>
        <v>0</v>
      </c>
      <c r="H261" s="17">
        <f t="shared" si="21"/>
        <v>0</v>
      </c>
      <c r="I261" s="7"/>
    </row>
    <row r="262" spans="1:9" s="8" customFormat="1" ht="15" hidden="1">
      <c r="A262" s="7" t="s">
        <v>41</v>
      </c>
      <c r="B262" s="7" t="s">
        <v>24</v>
      </c>
      <c r="C262" s="7" t="s">
        <v>47</v>
      </c>
      <c r="D262" s="7"/>
      <c r="E262" s="15">
        <f t="shared" si="22"/>
        <v>0</v>
      </c>
      <c r="F262" s="15">
        <f t="shared" si="19"/>
        <v>0</v>
      </c>
      <c r="G262" s="16">
        <f t="shared" si="20"/>
        <v>0</v>
      </c>
      <c r="H262" s="17">
        <f t="shared" si="21"/>
        <v>0</v>
      </c>
      <c r="I262" s="7"/>
    </row>
    <row r="263" spans="1:9" s="8" customFormat="1" ht="15" hidden="1">
      <c r="A263" s="6" t="s">
        <v>356</v>
      </c>
      <c r="B263" s="9" t="s">
        <v>24</v>
      </c>
      <c r="C263" s="9" t="s">
        <v>116</v>
      </c>
      <c r="D263" s="9"/>
      <c r="E263" s="15">
        <f t="shared" si="22"/>
        <v>0</v>
      </c>
      <c r="F263" s="15">
        <f t="shared" si="19"/>
        <v>0</v>
      </c>
      <c r="G263" s="16">
        <f t="shared" si="20"/>
        <v>0</v>
      </c>
      <c r="H263" s="17">
        <f t="shared" si="21"/>
        <v>0</v>
      </c>
      <c r="I263" s="7"/>
    </row>
    <row r="264" spans="1:9" s="8" customFormat="1" ht="15" hidden="1">
      <c r="A264" s="6" t="s">
        <v>357</v>
      </c>
      <c r="B264" s="9" t="s">
        <v>24</v>
      </c>
      <c r="C264" s="9" t="s">
        <v>120</v>
      </c>
      <c r="D264" s="9"/>
      <c r="E264" s="15">
        <f t="shared" si="22"/>
        <v>0</v>
      </c>
      <c r="F264" s="15">
        <f t="shared" si="19"/>
        <v>0</v>
      </c>
      <c r="G264" s="16">
        <f t="shared" si="20"/>
        <v>0</v>
      </c>
      <c r="H264" s="17">
        <f t="shared" si="21"/>
        <v>0</v>
      </c>
      <c r="I264" s="7"/>
    </row>
    <row r="265" spans="1:9" s="8" customFormat="1" ht="15" hidden="1">
      <c r="A265" s="6" t="s">
        <v>358</v>
      </c>
      <c r="B265" s="9" t="s">
        <v>24</v>
      </c>
      <c r="C265" s="9" t="s">
        <v>121</v>
      </c>
      <c r="D265" s="9"/>
      <c r="E265" s="15">
        <f t="shared" si="22"/>
        <v>0</v>
      </c>
      <c r="F265" s="15">
        <f t="shared" si="19"/>
        <v>0</v>
      </c>
      <c r="G265" s="16">
        <f t="shared" si="20"/>
        <v>0</v>
      </c>
      <c r="H265" s="17">
        <f t="shared" si="21"/>
        <v>0</v>
      </c>
      <c r="I265" s="7"/>
    </row>
    <row r="266" spans="1:9" s="8" customFormat="1" ht="15" hidden="1">
      <c r="A266" s="6" t="s">
        <v>359</v>
      </c>
      <c r="B266" s="9" t="s">
        <v>24</v>
      </c>
      <c r="C266" s="9" t="s">
        <v>122</v>
      </c>
      <c r="D266" s="9"/>
      <c r="E266" s="15">
        <f t="shared" si="22"/>
        <v>0</v>
      </c>
      <c r="F266" s="15">
        <f t="shared" si="19"/>
        <v>0</v>
      </c>
      <c r="G266" s="16">
        <f t="shared" si="20"/>
        <v>0</v>
      </c>
      <c r="H266" s="17">
        <f t="shared" si="21"/>
        <v>0</v>
      </c>
      <c r="I266" s="7"/>
    </row>
    <row r="267" spans="1:9" s="8" customFormat="1" ht="15" hidden="1">
      <c r="A267" s="6" t="s">
        <v>360</v>
      </c>
      <c r="B267" s="9" t="s">
        <v>24</v>
      </c>
      <c r="C267" s="9" t="s">
        <v>708</v>
      </c>
      <c r="D267" s="9"/>
      <c r="E267" s="15">
        <f t="shared" si="22"/>
        <v>0</v>
      </c>
      <c r="F267" s="15">
        <f t="shared" si="19"/>
        <v>0</v>
      </c>
      <c r="G267" s="16">
        <f t="shared" si="20"/>
        <v>0</v>
      </c>
      <c r="H267" s="17">
        <f t="shared" si="21"/>
        <v>0</v>
      </c>
      <c r="I267" s="7"/>
    </row>
    <row r="268" spans="1:9" s="8" customFormat="1" ht="15" hidden="1">
      <c r="A268" s="6" t="s">
        <v>361</v>
      </c>
      <c r="B268" s="9" t="s">
        <v>24</v>
      </c>
      <c r="C268" s="9" t="s">
        <v>709</v>
      </c>
      <c r="D268" s="9"/>
      <c r="E268" s="15">
        <f t="shared" si="22"/>
        <v>0</v>
      </c>
      <c r="F268" s="15">
        <f t="shared" si="19"/>
        <v>0</v>
      </c>
      <c r="G268" s="16">
        <f t="shared" si="20"/>
        <v>0</v>
      </c>
      <c r="H268" s="17">
        <f t="shared" si="21"/>
        <v>0</v>
      </c>
      <c r="I268" s="7"/>
    </row>
    <row r="269" spans="1:9" s="8" customFormat="1" ht="15" hidden="1">
      <c r="A269" s="6" t="s">
        <v>362</v>
      </c>
      <c r="B269" s="9" t="s">
        <v>24</v>
      </c>
      <c r="C269" s="9" t="s">
        <v>710</v>
      </c>
      <c r="D269" s="9"/>
      <c r="E269" s="15">
        <f t="shared" si="22"/>
        <v>0</v>
      </c>
      <c r="F269" s="15">
        <f t="shared" si="19"/>
        <v>0</v>
      </c>
      <c r="G269" s="16">
        <f t="shared" si="20"/>
        <v>0</v>
      </c>
      <c r="H269" s="17">
        <f t="shared" si="21"/>
        <v>0</v>
      </c>
      <c r="I269" s="7"/>
    </row>
    <row r="270" spans="1:9" s="8" customFormat="1" ht="15" hidden="1">
      <c r="A270" s="6" t="s">
        <v>363</v>
      </c>
      <c r="B270" s="9" t="s">
        <v>24</v>
      </c>
      <c r="C270" s="9" t="s">
        <v>711</v>
      </c>
      <c r="D270" s="9"/>
      <c r="E270" s="15">
        <f t="shared" si="22"/>
        <v>0</v>
      </c>
      <c r="F270" s="15">
        <f t="shared" si="19"/>
        <v>0</v>
      </c>
      <c r="G270" s="16">
        <f t="shared" si="20"/>
        <v>0</v>
      </c>
      <c r="H270" s="17">
        <f t="shared" si="21"/>
        <v>0</v>
      </c>
      <c r="I270" s="7"/>
    </row>
    <row r="271" spans="1:9" s="8" customFormat="1" ht="15" hidden="1">
      <c r="A271" s="6" t="s">
        <v>364</v>
      </c>
      <c r="B271" s="9" t="s">
        <v>24</v>
      </c>
      <c r="C271" s="9" t="s">
        <v>712</v>
      </c>
      <c r="D271" s="9"/>
      <c r="E271" s="15">
        <f t="shared" si="22"/>
        <v>0</v>
      </c>
      <c r="F271" s="15">
        <f t="shared" si="19"/>
        <v>0</v>
      </c>
      <c r="G271" s="16">
        <f t="shared" si="20"/>
        <v>0</v>
      </c>
      <c r="H271" s="17">
        <f t="shared" si="21"/>
        <v>0</v>
      </c>
      <c r="I271" s="7"/>
    </row>
    <row r="272" spans="1:9" s="8" customFormat="1" ht="15" hidden="1">
      <c r="A272" s="6" t="s">
        <v>365</v>
      </c>
      <c r="B272" s="9" t="s">
        <v>24</v>
      </c>
      <c r="C272" s="9" t="s">
        <v>713</v>
      </c>
      <c r="D272" s="9"/>
      <c r="E272" s="15">
        <f t="shared" si="22"/>
        <v>0</v>
      </c>
      <c r="F272" s="15">
        <f t="shared" si="19"/>
        <v>0</v>
      </c>
      <c r="G272" s="16">
        <f t="shared" si="20"/>
        <v>0</v>
      </c>
      <c r="H272" s="17">
        <f t="shared" si="21"/>
        <v>0</v>
      </c>
      <c r="I272" s="7"/>
    </row>
    <row r="273" spans="1:9" s="8" customFormat="1" ht="15">
      <c r="A273" s="6" t="s">
        <v>932</v>
      </c>
      <c r="B273" s="9" t="s">
        <v>933</v>
      </c>
      <c r="C273" s="9" t="s">
        <v>934</v>
      </c>
      <c r="D273" s="9">
        <v>162.91</v>
      </c>
      <c r="E273" s="15">
        <f>D273/1.21</f>
        <v>134.63636363636363</v>
      </c>
      <c r="F273" s="15">
        <f t="shared" si="19"/>
        <v>232.7285714285714</v>
      </c>
      <c r="G273" s="16">
        <f t="shared" si="20"/>
        <v>5820</v>
      </c>
      <c r="H273" s="17">
        <f t="shared" si="21"/>
        <v>4072.7499999999995</v>
      </c>
      <c r="I273" s="7"/>
    </row>
    <row r="274" spans="1:9" s="8" customFormat="1" ht="15">
      <c r="A274" s="13" t="s">
        <v>366</v>
      </c>
      <c r="B274" s="9" t="s">
        <v>10</v>
      </c>
      <c r="C274" s="9" t="s">
        <v>779</v>
      </c>
      <c r="D274" s="9">
        <v>93.8</v>
      </c>
      <c r="E274" s="15">
        <f>D274/1.21</f>
        <v>77.52066115702479</v>
      </c>
      <c r="F274" s="15">
        <f t="shared" si="19"/>
        <v>134</v>
      </c>
      <c r="G274" s="16">
        <f t="shared" si="20"/>
        <v>3350</v>
      </c>
      <c r="H274" s="17">
        <f t="shared" si="21"/>
        <v>2345</v>
      </c>
      <c r="I274" s="7"/>
    </row>
    <row r="275" spans="1:9" s="8" customFormat="1" ht="15">
      <c r="A275" s="6" t="s">
        <v>367</v>
      </c>
      <c r="B275" s="9" t="s">
        <v>27</v>
      </c>
      <c r="C275" s="9" t="s">
        <v>86</v>
      </c>
      <c r="D275" s="9">
        <v>7.41</v>
      </c>
      <c r="E275" s="15">
        <f>D275/1.21</f>
        <v>6.123966942148761</v>
      </c>
      <c r="F275" s="15">
        <f t="shared" si="19"/>
        <v>10.585714285714287</v>
      </c>
      <c r="G275" s="16">
        <f t="shared" si="20"/>
        <v>260</v>
      </c>
      <c r="H275" s="17">
        <f t="shared" si="21"/>
        <v>185.25</v>
      </c>
      <c r="I275" s="7"/>
    </row>
    <row r="276" spans="1:9" s="8" customFormat="1" ht="15">
      <c r="A276" s="6" t="s">
        <v>368</v>
      </c>
      <c r="B276" s="9" t="s">
        <v>21</v>
      </c>
      <c r="C276" s="9" t="s">
        <v>624</v>
      </c>
      <c r="D276" s="9">
        <v>29.13</v>
      </c>
      <c r="E276" s="15">
        <f>D276/1.21</f>
        <v>24.074380165289256</v>
      </c>
      <c r="F276" s="15">
        <f t="shared" si="19"/>
        <v>41.614285714285714</v>
      </c>
      <c r="G276" s="16">
        <f t="shared" si="20"/>
        <v>1040</v>
      </c>
      <c r="H276" s="17">
        <f t="shared" si="21"/>
        <v>728.25</v>
      </c>
      <c r="I276" s="7"/>
    </row>
    <row r="277" spans="1:9" s="8" customFormat="1" ht="15">
      <c r="A277" s="6" t="s">
        <v>369</v>
      </c>
      <c r="B277" s="9" t="s">
        <v>21</v>
      </c>
      <c r="C277" s="9" t="s">
        <v>625</v>
      </c>
      <c r="D277" s="9">
        <v>29.13</v>
      </c>
      <c r="E277" s="15">
        <f aca="true" t="shared" si="23" ref="E277:E282">D277/1.21</f>
        <v>24.074380165289256</v>
      </c>
      <c r="F277" s="15">
        <f t="shared" si="19"/>
        <v>41.614285714285714</v>
      </c>
      <c r="G277" s="16">
        <f t="shared" si="20"/>
        <v>1040</v>
      </c>
      <c r="H277" s="17">
        <f t="shared" si="21"/>
        <v>728.25</v>
      </c>
      <c r="I277" s="7"/>
    </row>
    <row r="278" spans="1:9" s="8" customFormat="1" ht="15">
      <c r="A278" s="6" t="s">
        <v>370</v>
      </c>
      <c r="B278" s="9" t="s">
        <v>21</v>
      </c>
      <c r="C278" s="9" t="s">
        <v>626</v>
      </c>
      <c r="D278" s="9">
        <v>29.13</v>
      </c>
      <c r="E278" s="15">
        <f t="shared" si="23"/>
        <v>24.074380165289256</v>
      </c>
      <c r="F278" s="15">
        <f t="shared" si="19"/>
        <v>41.614285714285714</v>
      </c>
      <c r="G278" s="16">
        <f t="shared" si="20"/>
        <v>1040</v>
      </c>
      <c r="H278" s="17">
        <f t="shared" si="21"/>
        <v>728.25</v>
      </c>
      <c r="I278" s="7"/>
    </row>
    <row r="279" spans="1:9" s="8" customFormat="1" ht="15">
      <c r="A279" s="6" t="s">
        <v>371</v>
      </c>
      <c r="B279" s="9" t="s">
        <v>21</v>
      </c>
      <c r="C279" s="9" t="s">
        <v>627</v>
      </c>
      <c r="D279" s="9">
        <v>29.13</v>
      </c>
      <c r="E279" s="15">
        <f t="shared" si="23"/>
        <v>24.074380165289256</v>
      </c>
      <c r="F279" s="15">
        <f t="shared" si="19"/>
        <v>41.614285714285714</v>
      </c>
      <c r="G279" s="16">
        <f t="shared" si="20"/>
        <v>1040</v>
      </c>
      <c r="H279" s="17">
        <f t="shared" si="21"/>
        <v>728.25</v>
      </c>
      <c r="I279" s="7"/>
    </row>
    <row r="280" spans="1:9" s="8" customFormat="1" ht="15">
      <c r="A280" s="6" t="s">
        <v>372</v>
      </c>
      <c r="B280" s="9" t="s">
        <v>21</v>
      </c>
      <c r="C280" s="9" t="s">
        <v>628</v>
      </c>
      <c r="D280" s="9">
        <v>29.13</v>
      </c>
      <c r="E280" s="15">
        <f t="shared" si="23"/>
        <v>24.074380165289256</v>
      </c>
      <c r="F280" s="15">
        <f t="shared" si="19"/>
        <v>41.614285714285714</v>
      </c>
      <c r="G280" s="16">
        <f t="shared" si="20"/>
        <v>1040</v>
      </c>
      <c r="H280" s="17">
        <f t="shared" si="21"/>
        <v>728.25</v>
      </c>
      <c r="I280" s="7"/>
    </row>
    <row r="281" spans="1:9" s="8" customFormat="1" ht="15">
      <c r="A281" s="6" t="s">
        <v>373</v>
      </c>
      <c r="B281" s="9" t="s">
        <v>21</v>
      </c>
      <c r="C281" s="9" t="s">
        <v>629</v>
      </c>
      <c r="D281" s="9">
        <v>29.13</v>
      </c>
      <c r="E281" s="15">
        <f t="shared" si="23"/>
        <v>24.074380165289256</v>
      </c>
      <c r="F281" s="15">
        <f t="shared" si="19"/>
        <v>41.614285714285714</v>
      </c>
      <c r="G281" s="16">
        <f t="shared" si="20"/>
        <v>1040</v>
      </c>
      <c r="H281" s="17">
        <f t="shared" si="21"/>
        <v>728.25</v>
      </c>
      <c r="I281" s="7"/>
    </row>
    <row r="282" spans="1:9" s="8" customFormat="1" ht="15">
      <c r="A282" s="6" t="s">
        <v>374</v>
      </c>
      <c r="B282" s="9" t="s">
        <v>21</v>
      </c>
      <c r="C282" s="9" t="s">
        <v>630</v>
      </c>
      <c r="D282" s="9">
        <v>29.13</v>
      </c>
      <c r="E282" s="15">
        <f t="shared" si="23"/>
        <v>24.074380165289256</v>
      </c>
      <c r="F282" s="15">
        <f t="shared" si="19"/>
        <v>41.614285714285714</v>
      </c>
      <c r="G282" s="16">
        <f t="shared" si="20"/>
        <v>1040</v>
      </c>
      <c r="H282" s="17">
        <f t="shared" si="21"/>
        <v>728.25</v>
      </c>
      <c r="I282" s="7"/>
    </row>
    <row r="283" spans="1:9" s="8" customFormat="1" ht="15">
      <c r="A283" s="6" t="s">
        <v>375</v>
      </c>
      <c r="B283" s="9" t="s">
        <v>21</v>
      </c>
      <c r="C283" s="9" t="s">
        <v>631</v>
      </c>
      <c r="D283" s="9">
        <v>29.13</v>
      </c>
      <c r="E283" s="15">
        <f aca="true" t="shared" si="24" ref="E283:E339">D283/1.21</f>
        <v>24.074380165289256</v>
      </c>
      <c r="F283" s="15">
        <f aca="true" t="shared" si="25" ref="F283:F347">(E283/0.7)*1.21</f>
        <v>41.614285714285714</v>
      </c>
      <c r="G283" s="16">
        <f aca="true" t="shared" si="26" ref="G283:G347">ROUND((F283/1.21)*1.21*$I$1,-1)</f>
        <v>1040</v>
      </c>
      <c r="H283" s="17">
        <f aca="true" t="shared" si="27" ref="H283:H347">(F283/1.21)*1.21*$I$1*0.7</f>
        <v>728.25</v>
      </c>
      <c r="I283" s="7"/>
    </row>
    <row r="284" spans="1:9" s="8" customFormat="1" ht="15">
      <c r="A284" s="6" t="s">
        <v>376</v>
      </c>
      <c r="B284" s="9" t="s">
        <v>21</v>
      </c>
      <c r="C284" s="9" t="s">
        <v>632</v>
      </c>
      <c r="D284" s="9">
        <v>29.13</v>
      </c>
      <c r="E284" s="15">
        <f t="shared" si="24"/>
        <v>24.074380165289256</v>
      </c>
      <c r="F284" s="15">
        <f t="shared" si="25"/>
        <v>41.614285714285714</v>
      </c>
      <c r="G284" s="16">
        <f t="shared" si="26"/>
        <v>1040</v>
      </c>
      <c r="H284" s="17">
        <f t="shared" si="27"/>
        <v>728.25</v>
      </c>
      <c r="I284" s="7"/>
    </row>
    <row r="285" spans="1:9" s="8" customFormat="1" ht="15">
      <c r="A285" s="6" t="s">
        <v>377</v>
      </c>
      <c r="B285" s="9" t="s">
        <v>21</v>
      </c>
      <c r="C285" s="9" t="s">
        <v>633</v>
      </c>
      <c r="D285" s="9">
        <v>29.13</v>
      </c>
      <c r="E285" s="15">
        <f t="shared" si="24"/>
        <v>24.074380165289256</v>
      </c>
      <c r="F285" s="15">
        <f t="shared" si="25"/>
        <v>41.614285714285714</v>
      </c>
      <c r="G285" s="16">
        <f t="shared" si="26"/>
        <v>1040</v>
      </c>
      <c r="H285" s="17">
        <f t="shared" si="27"/>
        <v>728.25</v>
      </c>
      <c r="I285" s="7"/>
    </row>
    <row r="286" spans="1:9" s="8" customFormat="1" ht="15">
      <c r="A286" s="6" t="s">
        <v>378</v>
      </c>
      <c r="B286" s="9" t="s">
        <v>21</v>
      </c>
      <c r="C286" s="9" t="s">
        <v>634</v>
      </c>
      <c r="D286" s="9">
        <v>29.13</v>
      </c>
      <c r="E286" s="15">
        <f t="shared" si="24"/>
        <v>24.074380165289256</v>
      </c>
      <c r="F286" s="15">
        <f t="shared" si="25"/>
        <v>41.614285714285714</v>
      </c>
      <c r="G286" s="16">
        <f t="shared" si="26"/>
        <v>1040</v>
      </c>
      <c r="H286" s="17">
        <f t="shared" si="27"/>
        <v>728.25</v>
      </c>
      <c r="I286" s="7"/>
    </row>
    <row r="287" spans="1:9" s="8" customFormat="1" ht="15">
      <c r="A287" s="6" t="s">
        <v>379</v>
      </c>
      <c r="B287" s="9" t="s">
        <v>21</v>
      </c>
      <c r="C287" s="9" t="s">
        <v>635</v>
      </c>
      <c r="D287" s="9">
        <v>29.13</v>
      </c>
      <c r="E287" s="15">
        <f t="shared" si="24"/>
        <v>24.074380165289256</v>
      </c>
      <c r="F287" s="15">
        <f t="shared" si="25"/>
        <v>41.614285714285714</v>
      </c>
      <c r="G287" s="16">
        <f t="shared" si="26"/>
        <v>1040</v>
      </c>
      <c r="H287" s="17">
        <f t="shared" si="27"/>
        <v>728.25</v>
      </c>
      <c r="I287" s="7"/>
    </row>
    <row r="288" spans="1:9" s="8" customFormat="1" ht="15">
      <c r="A288" s="6" t="s">
        <v>380</v>
      </c>
      <c r="B288" s="9" t="s">
        <v>21</v>
      </c>
      <c r="C288" s="9" t="s">
        <v>636</v>
      </c>
      <c r="D288" s="9">
        <v>29.13</v>
      </c>
      <c r="E288" s="15">
        <f t="shared" si="24"/>
        <v>24.074380165289256</v>
      </c>
      <c r="F288" s="15">
        <f t="shared" si="25"/>
        <v>41.614285714285714</v>
      </c>
      <c r="G288" s="16">
        <f t="shared" si="26"/>
        <v>1040</v>
      </c>
      <c r="H288" s="17">
        <f t="shared" si="27"/>
        <v>728.25</v>
      </c>
      <c r="I288" s="7"/>
    </row>
    <row r="289" spans="1:9" s="8" customFormat="1" ht="15">
      <c r="A289" s="6" t="s">
        <v>381</v>
      </c>
      <c r="B289" s="9" t="s">
        <v>21</v>
      </c>
      <c r="C289" s="9" t="s">
        <v>637</v>
      </c>
      <c r="D289" s="9">
        <v>29.13</v>
      </c>
      <c r="E289" s="15">
        <f t="shared" si="24"/>
        <v>24.074380165289256</v>
      </c>
      <c r="F289" s="15">
        <f t="shared" si="25"/>
        <v>41.614285714285714</v>
      </c>
      <c r="G289" s="16">
        <f t="shared" si="26"/>
        <v>1040</v>
      </c>
      <c r="H289" s="17">
        <f t="shared" si="27"/>
        <v>728.25</v>
      </c>
      <c r="I289" s="7"/>
    </row>
    <row r="290" spans="1:9" s="8" customFormat="1" ht="15">
      <c r="A290" s="6" t="s">
        <v>382</v>
      </c>
      <c r="B290" s="9" t="s">
        <v>21</v>
      </c>
      <c r="C290" s="9" t="s">
        <v>638</v>
      </c>
      <c r="D290" s="9">
        <v>29.13</v>
      </c>
      <c r="E290" s="15">
        <f t="shared" si="24"/>
        <v>24.074380165289256</v>
      </c>
      <c r="F290" s="15">
        <f t="shared" si="25"/>
        <v>41.614285714285714</v>
      </c>
      <c r="G290" s="16">
        <f t="shared" si="26"/>
        <v>1040</v>
      </c>
      <c r="H290" s="17">
        <f t="shared" si="27"/>
        <v>728.25</v>
      </c>
      <c r="I290" s="7"/>
    </row>
    <row r="291" spans="1:9" s="8" customFormat="1" ht="15">
      <c r="A291" s="6" t="s">
        <v>383</v>
      </c>
      <c r="B291" s="9" t="s">
        <v>21</v>
      </c>
      <c r="C291" s="9" t="s">
        <v>70</v>
      </c>
      <c r="D291" s="9">
        <v>29.13</v>
      </c>
      <c r="E291" s="15">
        <f t="shared" si="24"/>
        <v>24.074380165289256</v>
      </c>
      <c r="F291" s="15">
        <f t="shared" si="25"/>
        <v>41.614285714285714</v>
      </c>
      <c r="G291" s="16">
        <f t="shared" si="26"/>
        <v>1040</v>
      </c>
      <c r="H291" s="17">
        <f t="shared" si="27"/>
        <v>728.25</v>
      </c>
      <c r="I291" s="7"/>
    </row>
    <row r="292" spans="1:9" s="8" customFormat="1" ht="15">
      <c r="A292" s="6" t="s">
        <v>384</v>
      </c>
      <c r="B292" s="9" t="s">
        <v>21</v>
      </c>
      <c r="C292" s="9" t="s">
        <v>639</v>
      </c>
      <c r="D292" s="9">
        <v>29.13</v>
      </c>
      <c r="E292" s="15">
        <f t="shared" si="24"/>
        <v>24.074380165289256</v>
      </c>
      <c r="F292" s="15">
        <f t="shared" si="25"/>
        <v>41.614285714285714</v>
      </c>
      <c r="G292" s="16">
        <f t="shared" si="26"/>
        <v>1040</v>
      </c>
      <c r="H292" s="17">
        <f t="shared" si="27"/>
        <v>728.25</v>
      </c>
      <c r="I292" s="7"/>
    </row>
    <row r="293" spans="1:9" s="8" customFormat="1" ht="15">
      <c r="A293" s="6" t="s">
        <v>385</v>
      </c>
      <c r="B293" s="9" t="s">
        <v>21</v>
      </c>
      <c r="C293" s="9" t="s">
        <v>640</v>
      </c>
      <c r="D293" s="9">
        <v>29.13</v>
      </c>
      <c r="E293" s="15">
        <f t="shared" si="24"/>
        <v>24.074380165289256</v>
      </c>
      <c r="F293" s="15">
        <f t="shared" si="25"/>
        <v>41.614285714285714</v>
      </c>
      <c r="G293" s="16">
        <f t="shared" si="26"/>
        <v>1040</v>
      </c>
      <c r="H293" s="17">
        <f t="shared" si="27"/>
        <v>728.25</v>
      </c>
      <c r="I293" s="7"/>
    </row>
    <row r="294" spans="1:9" s="8" customFormat="1" ht="15">
      <c r="A294" s="6" t="s">
        <v>386</v>
      </c>
      <c r="B294" s="9" t="s">
        <v>21</v>
      </c>
      <c r="C294" s="9" t="s">
        <v>641</v>
      </c>
      <c r="D294" s="9">
        <v>29.13</v>
      </c>
      <c r="E294" s="15">
        <f t="shared" si="24"/>
        <v>24.074380165289256</v>
      </c>
      <c r="F294" s="15">
        <f t="shared" si="25"/>
        <v>41.614285714285714</v>
      </c>
      <c r="G294" s="16">
        <f t="shared" si="26"/>
        <v>1040</v>
      </c>
      <c r="H294" s="17">
        <f t="shared" si="27"/>
        <v>728.25</v>
      </c>
      <c r="I294" s="7"/>
    </row>
    <row r="295" spans="1:9" s="8" customFormat="1" ht="15">
      <c r="A295" s="6" t="s">
        <v>387</v>
      </c>
      <c r="B295" s="9" t="s">
        <v>21</v>
      </c>
      <c r="C295" s="9" t="s">
        <v>642</v>
      </c>
      <c r="D295" s="9">
        <v>29.13</v>
      </c>
      <c r="E295" s="15">
        <f t="shared" si="24"/>
        <v>24.074380165289256</v>
      </c>
      <c r="F295" s="15">
        <f t="shared" si="25"/>
        <v>41.614285714285714</v>
      </c>
      <c r="G295" s="16">
        <f t="shared" si="26"/>
        <v>1040</v>
      </c>
      <c r="H295" s="17">
        <f t="shared" si="27"/>
        <v>728.25</v>
      </c>
      <c r="I295" s="7"/>
    </row>
    <row r="296" spans="1:9" s="8" customFormat="1" ht="15">
      <c r="A296" s="6" t="s">
        <v>388</v>
      </c>
      <c r="B296" s="9" t="s">
        <v>21</v>
      </c>
      <c r="C296" s="9" t="s">
        <v>643</v>
      </c>
      <c r="D296" s="9">
        <v>29.13</v>
      </c>
      <c r="E296" s="15">
        <f t="shared" si="24"/>
        <v>24.074380165289256</v>
      </c>
      <c r="F296" s="15">
        <f t="shared" si="25"/>
        <v>41.614285714285714</v>
      </c>
      <c r="G296" s="16">
        <f t="shared" si="26"/>
        <v>1040</v>
      </c>
      <c r="H296" s="17">
        <f t="shared" si="27"/>
        <v>728.25</v>
      </c>
      <c r="I296" s="7"/>
    </row>
    <row r="297" spans="1:9" s="8" customFormat="1" ht="15">
      <c r="A297" s="6" t="s">
        <v>389</v>
      </c>
      <c r="B297" s="9" t="s">
        <v>21</v>
      </c>
      <c r="C297" s="9" t="s">
        <v>644</v>
      </c>
      <c r="D297" s="9">
        <v>29.13</v>
      </c>
      <c r="E297" s="15">
        <f t="shared" si="24"/>
        <v>24.074380165289256</v>
      </c>
      <c r="F297" s="15">
        <f t="shared" si="25"/>
        <v>41.614285714285714</v>
      </c>
      <c r="G297" s="16">
        <f t="shared" si="26"/>
        <v>1040</v>
      </c>
      <c r="H297" s="17">
        <f t="shared" si="27"/>
        <v>728.25</v>
      </c>
      <c r="I297" s="7"/>
    </row>
    <row r="298" spans="1:9" s="8" customFormat="1" ht="15">
      <c r="A298" s="6" t="s">
        <v>390</v>
      </c>
      <c r="B298" s="9" t="s">
        <v>21</v>
      </c>
      <c r="C298" s="9" t="s">
        <v>645</v>
      </c>
      <c r="D298" s="9">
        <v>29.13</v>
      </c>
      <c r="E298" s="15">
        <f t="shared" si="24"/>
        <v>24.074380165289256</v>
      </c>
      <c r="F298" s="15">
        <f t="shared" si="25"/>
        <v>41.614285714285714</v>
      </c>
      <c r="G298" s="16">
        <f t="shared" si="26"/>
        <v>1040</v>
      </c>
      <c r="H298" s="17">
        <f t="shared" si="27"/>
        <v>728.25</v>
      </c>
      <c r="I298" s="7"/>
    </row>
    <row r="299" spans="1:9" s="8" customFormat="1" ht="15">
      <c r="A299" s="6" t="s">
        <v>391</v>
      </c>
      <c r="B299" s="9" t="s">
        <v>21</v>
      </c>
      <c r="C299" s="9" t="s">
        <v>646</v>
      </c>
      <c r="D299" s="9">
        <v>29.13</v>
      </c>
      <c r="E299" s="15">
        <f t="shared" si="24"/>
        <v>24.074380165289256</v>
      </c>
      <c r="F299" s="15">
        <f t="shared" si="25"/>
        <v>41.614285714285714</v>
      </c>
      <c r="G299" s="16">
        <f t="shared" si="26"/>
        <v>1040</v>
      </c>
      <c r="H299" s="17">
        <f t="shared" si="27"/>
        <v>728.25</v>
      </c>
      <c r="I299" s="7"/>
    </row>
    <row r="300" spans="1:9" s="8" customFormat="1" ht="15">
      <c r="A300" s="6" t="s">
        <v>392</v>
      </c>
      <c r="B300" s="9" t="s">
        <v>21</v>
      </c>
      <c r="C300" s="9" t="s">
        <v>647</v>
      </c>
      <c r="D300" s="9">
        <v>29.13</v>
      </c>
      <c r="E300" s="15">
        <f t="shared" si="24"/>
        <v>24.074380165289256</v>
      </c>
      <c r="F300" s="15">
        <f t="shared" si="25"/>
        <v>41.614285714285714</v>
      </c>
      <c r="G300" s="16">
        <f t="shared" si="26"/>
        <v>1040</v>
      </c>
      <c r="H300" s="17">
        <f t="shared" si="27"/>
        <v>728.25</v>
      </c>
      <c r="I300" s="7"/>
    </row>
    <row r="301" spans="1:9" s="8" customFormat="1" ht="15">
      <c r="A301" s="6" t="s">
        <v>393</v>
      </c>
      <c r="B301" s="9" t="s">
        <v>21</v>
      </c>
      <c r="C301" s="9" t="s">
        <v>648</v>
      </c>
      <c r="D301" s="9">
        <v>29.13</v>
      </c>
      <c r="E301" s="15">
        <f t="shared" si="24"/>
        <v>24.074380165289256</v>
      </c>
      <c r="F301" s="15">
        <f t="shared" si="25"/>
        <v>41.614285714285714</v>
      </c>
      <c r="G301" s="16">
        <f t="shared" si="26"/>
        <v>1040</v>
      </c>
      <c r="H301" s="17">
        <f t="shared" si="27"/>
        <v>728.25</v>
      </c>
      <c r="I301" s="7"/>
    </row>
    <row r="302" spans="1:9" s="8" customFormat="1" ht="15">
      <c r="A302" s="6" t="s">
        <v>394</v>
      </c>
      <c r="B302" s="9" t="s">
        <v>21</v>
      </c>
      <c r="C302" s="9" t="s">
        <v>649</v>
      </c>
      <c r="D302" s="9">
        <v>29.13</v>
      </c>
      <c r="E302" s="15">
        <f t="shared" si="24"/>
        <v>24.074380165289256</v>
      </c>
      <c r="F302" s="15">
        <f t="shared" si="25"/>
        <v>41.614285714285714</v>
      </c>
      <c r="G302" s="16">
        <f t="shared" si="26"/>
        <v>1040</v>
      </c>
      <c r="H302" s="17">
        <f t="shared" si="27"/>
        <v>728.25</v>
      </c>
      <c r="I302" s="7"/>
    </row>
    <row r="303" spans="1:9" s="8" customFormat="1" ht="15">
      <c r="A303" s="6" t="s">
        <v>395</v>
      </c>
      <c r="B303" s="9" t="s">
        <v>21</v>
      </c>
      <c r="C303" s="9" t="s">
        <v>650</v>
      </c>
      <c r="D303" s="9">
        <v>29.13</v>
      </c>
      <c r="E303" s="15">
        <f t="shared" si="24"/>
        <v>24.074380165289256</v>
      </c>
      <c r="F303" s="15">
        <f t="shared" si="25"/>
        <v>41.614285714285714</v>
      </c>
      <c r="G303" s="16">
        <f t="shared" si="26"/>
        <v>1040</v>
      </c>
      <c r="H303" s="17">
        <f t="shared" si="27"/>
        <v>728.25</v>
      </c>
      <c r="I303" s="7"/>
    </row>
    <row r="304" spans="1:9" s="8" customFormat="1" ht="15">
      <c r="A304" s="6" t="s">
        <v>396</v>
      </c>
      <c r="B304" s="9" t="s">
        <v>21</v>
      </c>
      <c r="C304" s="9" t="s">
        <v>651</v>
      </c>
      <c r="D304" s="9">
        <v>29.13</v>
      </c>
      <c r="E304" s="15">
        <f t="shared" si="24"/>
        <v>24.074380165289256</v>
      </c>
      <c r="F304" s="15">
        <f t="shared" si="25"/>
        <v>41.614285714285714</v>
      </c>
      <c r="G304" s="16">
        <f t="shared" si="26"/>
        <v>1040</v>
      </c>
      <c r="H304" s="17">
        <f t="shared" si="27"/>
        <v>728.25</v>
      </c>
      <c r="I304" s="7"/>
    </row>
    <row r="305" spans="1:9" s="8" customFormat="1" ht="15">
      <c r="A305" s="6" t="s">
        <v>397</v>
      </c>
      <c r="B305" s="9" t="s">
        <v>21</v>
      </c>
      <c r="C305" s="9" t="s">
        <v>652</v>
      </c>
      <c r="D305" s="9">
        <v>29.13</v>
      </c>
      <c r="E305" s="15">
        <f t="shared" si="24"/>
        <v>24.074380165289256</v>
      </c>
      <c r="F305" s="15">
        <f t="shared" si="25"/>
        <v>41.614285714285714</v>
      </c>
      <c r="G305" s="16">
        <f t="shared" si="26"/>
        <v>1040</v>
      </c>
      <c r="H305" s="17">
        <f t="shared" si="27"/>
        <v>728.25</v>
      </c>
      <c r="I305" s="7"/>
    </row>
    <row r="306" spans="1:9" s="8" customFormat="1" ht="15">
      <c r="A306" s="6" t="s">
        <v>862</v>
      </c>
      <c r="B306" s="9" t="s">
        <v>21</v>
      </c>
      <c r="C306" s="9" t="s">
        <v>864</v>
      </c>
      <c r="D306" s="9">
        <v>29.13</v>
      </c>
      <c r="E306" s="15">
        <f t="shared" si="24"/>
        <v>24.074380165289256</v>
      </c>
      <c r="F306" s="15">
        <f t="shared" si="25"/>
        <v>41.614285714285714</v>
      </c>
      <c r="G306" s="16">
        <f t="shared" si="26"/>
        <v>1040</v>
      </c>
      <c r="H306" s="17">
        <f t="shared" si="27"/>
        <v>728.25</v>
      </c>
      <c r="I306" s="7"/>
    </row>
    <row r="307" spans="1:9" s="8" customFormat="1" ht="15">
      <c r="A307" s="6" t="s">
        <v>398</v>
      </c>
      <c r="B307" s="9" t="s">
        <v>21</v>
      </c>
      <c r="C307" s="9" t="s">
        <v>653</v>
      </c>
      <c r="D307" s="9">
        <v>29.13</v>
      </c>
      <c r="E307" s="15">
        <f t="shared" si="24"/>
        <v>24.074380165289256</v>
      </c>
      <c r="F307" s="15">
        <f t="shared" si="25"/>
        <v>41.614285714285714</v>
      </c>
      <c r="G307" s="16">
        <f t="shared" si="26"/>
        <v>1040</v>
      </c>
      <c r="H307" s="17">
        <f t="shared" si="27"/>
        <v>728.25</v>
      </c>
      <c r="I307" s="7"/>
    </row>
    <row r="308" spans="1:9" s="8" customFormat="1" ht="15">
      <c r="A308" s="6" t="s">
        <v>863</v>
      </c>
      <c r="B308" s="9" t="s">
        <v>21</v>
      </c>
      <c r="C308" s="9" t="s">
        <v>865</v>
      </c>
      <c r="D308" s="9">
        <v>29.13</v>
      </c>
      <c r="E308" s="15">
        <f t="shared" si="24"/>
        <v>24.074380165289256</v>
      </c>
      <c r="F308" s="15">
        <f t="shared" si="25"/>
        <v>41.614285714285714</v>
      </c>
      <c r="G308" s="16">
        <f t="shared" si="26"/>
        <v>1040</v>
      </c>
      <c r="H308" s="17">
        <f t="shared" si="27"/>
        <v>728.25</v>
      </c>
      <c r="I308" s="7"/>
    </row>
    <row r="309" spans="1:9" s="8" customFormat="1" ht="15">
      <c r="A309" s="6" t="s">
        <v>867</v>
      </c>
      <c r="B309" s="9" t="s">
        <v>21</v>
      </c>
      <c r="C309" s="9" t="s">
        <v>623</v>
      </c>
      <c r="D309" s="9">
        <v>29.13</v>
      </c>
      <c r="E309" s="15">
        <f t="shared" si="24"/>
        <v>24.074380165289256</v>
      </c>
      <c r="F309" s="15">
        <f t="shared" si="25"/>
        <v>41.614285714285714</v>
      </c>
      <c r="G309" s="16">
        <f t="shared" si="26"/>
        <v>1040</v>
      </c>
      <c r="H309" s="17">
        <f t="shared" si="27"/>
        <v>728.25</v>
      </c>
      <c r="I309" s="7"/>
    </row>
    <row r="310" spans="1:9" s="8" customFormat="1" ht="15">
      <c r="A310" s="6" t="s">
        <v>399</v>
      </c>
      <c r="B310" s="9" t="s">
        <v>21</v>
      </c>
      <c r="C310" s="9" t="s">
        <v>654</v>
      </c>
      <c r="D310" s="9">
        <v>29.13</v>
      </c>
      <c r="E310" s="15">
        <f t="shared" si="24"/>
        <v>24.074380165289256</v>
      </c>
      <c r="F310" s="15">
        <f t="shared" si="25"/>
        <v>41.614285714285714</v>
      </c>
      <c r="G310" s="16">
        <f t="shared" si="26"/>
        <v>1040</v>
      </c>
      <c r="H310" s="17">
        <f t="shared" si="27"/>
        <v>728.25</v>
      </c>
      <c r="I310" s="7"/>
    </row>
    <row r="311" spans="1:9" s="8" customFormat="1" ht="15">
      <c r="A311" s="6" t="s">
        <v>400</v>
      </c>
      <c r="B311" s="9" t="s">
        <v>21</v>
      </c>
      <c r="C311" s="9" t="s">
        <v>655</v>
      </c>
      <c r="D311" s="9">
        <v>29.13</v>
      </c>
      <c r="E311" s="15">
        <f t="shared" si="24"/>
        <v>24.074380165289256</v>
      </c>
      <c r="F311" s="15">
        <f t="shared" si="25"/>
        <v>41.614285714285714</v>
      </c>
      <c r="G311" s="16">
        <f t="shared" si="26"/>
        <v>1040</v>
      </c>
      <c r="H311" s="17">
        <f t="shared" si="27"/>
        <v>728.25</v>
      </c>
      <c r="I311" s="7"/>
    </row>
    <row r="312" spans="1:9" s="8" customFormat="1" ht="15">
      <c r="A312" s="6" t="s">
        <v>401</v>
      </c>
      <c r="B312" s="9" t="s">
        <v>21</v>
      </c>
      <c r="C312" s="9" t="s">
        <v>65</v>
      </c>
      <c r="D312" s="9">
        <v>29.13</v>
      </c>
      <c r="E312" s="15">
        <f t="shared" si="24"/>
        <v>24.074380165289256</v>
      </c>
      <c r="F312" s="15">
        <f t="shared" si="25"/>
        <v>41.614285714285714</v>
      </c>
      <c r="G312" s="16">
        <f t="shared" si="26"/>
        <v>1040</v>
      </c>
      <c r="H312" s="17">
        <f t="shared" si="27"/>
        <v>728.25</v>
      </c>
      <c r="I312" s="7"/>
    </row>
    <row r="313" spans="1:9" s="8" customFormat="1" ht="15">
      <c r="A313" s="6" t="s">
        <v>402</v>
      </c>
      <c r="B313" s="9" t="s">
        <v>21</v>
      </c>
      <c r="C313" s="9" t="s">
        <v>66</v>
      </c>
      <c r="D313" s="9">
        <v>29.13</v>
      </c>
      <c r="E313" s="15">
        <f t="shared" si="24"/>
        <v>24.074380165289256</v>
      </c>
      <c r="F313" s="15">
        <f t="shared" si="25"/>
        <v>41.614285714285714</v>
      </c>
      <c r="G313" s="16">
        <f t="shared" si="26"/>
        <v>1040</v>
      </c>
      <c r="H313" s="17">
        <f t="shared" si="27"/>
        <v>728.25</v>
      </c>
      <c r="I313" s="7"/>
    </row>
    <row r="314" spans="1:9" s="8" customFormat="1" ht="15">
      <c r="A314" s="6" t="s">
        <v>403</v>
      </c>
      <c r="B314" s="9" t="s">
        <v>21</v>
      </c>
      <c r="C314" s="9" t="s">
        <v>67</v>
      </c>
      <c r="D314" s="9">
        <v>29.13</v>
      </c>
      <c r="E314" s="15">
        <f t="shared" si="24"/>
        <v>24.074380165289256</v>
      </c>
      <c r="F314" s="15">
        <f t="shared" si="25"/>
        <v>41.614285714285714</v>
      </c>
      <c r="G314" s="16">
        <f t="shared" si="26"/>
        <v>1040</v>
      </c>
      <c r="H314" s="17">
        <f t="shared" si="27"/>
        <v>728.25</v>
      </c>
      <c r="I314" s="7"/>
    </row>
    <row r="315" spans="1:9" s="8" customFormat="1" ht="15">
      <c r="A315" s="6" t="s">
        <v>404</v>
      </c>
      <c r="B315" s="9" t="s">
        <v>21</v>
      </c>
      <c r="C315" s="9" t="s">
        <v>68</v>
      </c>
      <c r="D315" s="9">
        <v>29.13</v>
      </c>
      <c r="E315" s="15">
        <f t="shared" si="24"/>
        <v>24.074380165289256</v>
      </c>
      <c r="F315" s="15">
        <f t="shared" si="25"/>
        <v>41.614285714285714</v>
      </c>
      <c r="G315" s="16">
        <f t="shared" si="26"/>
        <v>1040</v>
      </c>
      <c r="H315" s="17">
        <f t="shared" si="27"/>
        <v>728.25</v>
      </c>
      <c r="I315" s="7"/>
    </row>
    <row r="316" spans="1:9" s="8" customFormat="1" ht="15">
      <c r="A316" s="6" t="s">
        <v>405</v>
      </c>
      <c r="B316" s="9" t="s">
        <v>21</v>
      </c>
      <c r="C316" s="9" t="s">
        <v>69</v>
      </c>
      <c r="D316" s="9">
        <v>29.13</v>
      </c>
      <c r="E316" s="15">
        <f t="shared" si="24"/>
        <v>24.074380165289256</v>
      </c>
      <c r="F316" s="15">
        <f t="shared" si="25"/>
        <v>41.614285714285714</v>
      </c>
      <c r="G316" s="16">
        <f t="shared" si="26"/>
        <v>1040</v>
      </c>
      <c r="H316" s="17">
        <f t="shared" si="27"/>
        <v>728.25</v>
      </c>
      <c r="I316" s="7"/>
    </row>
    <row r="317" spans="1:9" s="8" customFormat="1" ht="13.5" customHeight="1">
      <c r="A317" s="3"/>
      <c r="B317" s="4"/>
      <c r="C317" s="5"/>
      <c r="D317" s="27" t="s">
        <v>1029</v>
      </c>
      <c r="E317" s="27" t="s">
        <v>71</v>
      </c>
      <c r="F317" s="27" t="s">
        <v>1026</v>
      </c>
      <c r="G317" s="27" t="s">
        <v>1027</v>
      </c>
      <c r="H317" s="27" t="s">
        <v>1028</v>
      </c>
      <c r="I317" s="4"/>
    </row>
    <row r="318" spans="1:9" s="8" customFormat="1" ht="31.5" customHeight="1" thickBot="1">
      <c r="A318" s="20" t="s">
        <v>117</v>
      </c>
      <c r="B318" s="20" t="s">
        <v>118</v>
      </c>
      <c r="C318" s="20" t="s">
        <v>119</v>
      </c>
      <c r="D318" s="28"/>
      <c r="E318" s="28"/>
      <c r="F318" s="28"/>
      <c r="G318" s="28"/>
      <c r="H318" s="28"/>
      <c r="I318" s="20" t="s">
        <v>765</v>
      </c>
    </row>
    <row r="319" spans="1:9" s="8" customFormat="1" ht="15.75" thickTop="1">
      <c r="A319" s="6" t="s">
        <v>406</v>
      </c>
      <c r="B319" s="9" t="s">
        <v>21</v>
      </c>
      <c r="C319" s="9" t="s">
        <v>72</v>
      </c>
      <c r="D319" s="9">
        <v>29.13</v>
      </c>
      <c r="E319" s="15">
        <f t="shared" si="24"/>
        <v>24.074380165289256</v>
      </c>
      <c r="F319" s="15">
        <f t="shared" si="25"/>
        <v>41.614285714285714</v>
      </c>
      <c r="G319" s="16">
        <f t="shared" si="26"/>
        <v>1040</v>
      </c>
      <c r="H319" s="17">
        <f t="shared" si="27"/>
        <v>728.25</v>
      </c>
      <c r="I319" s="7"/>
    </row>
    <row r="320" spans="1:9" s="8" customFormat="1" ht="15">
      <c r="A320" s="6" t="s">
        <v>407</v>
      </c>
      <c r="B320" s="9" t="s">
        <v>21</v>
      </c>
      <c r="C320" s="9" t="s">
        <v>73</v>
      </c>
      <c r="D320" s="9">
        <v>29.13</v>
      </c>
      <c r="E320" s="15">
        <f t="shared" si="24"/>
        <v>24.074380165289256</v>
      </c>
      <c r="F320" s="15">
        <f t="shared" si="25"/>
        <v>41.614285714285714</v>
      </c>
      <c r="G320" s="16">
        <f t="shared" si="26"/>
        <v>1040</v>
      </c>
      <c r="H320" s="17">
        <f t="shared" si="27"/>
        <v>728.25</v>
      </c>
      <c r="I320" s="7"/>
    </row>
    <row r="321" spans="1:9" s="8" customFormat="1" ht="15">
      <c r="A321" s="6" t="s">
        <v>861</v>
      </c>
      <c r="B321" s="9" t="s">
        <v>21</v>
      </c>
      <c r="C321" s="9" t="s">
        <v>866</v>
      </c>
      <c r="D321" s="9">
        <v>29.13</v>
      </c>
      <c r="E321" s="15">
        <f t="shared" si="24"/>
        <v>24.074380165289256</v>
      </c>
      <c r="F321" s="15">
        <f t="shared" si="25"/>
        <v>41.614285714285714</v>
      </c>
      <c r="G321" s="16">
        <f t="shared" si="26"/>
        <v>1040</v>
      </c>
      <c r="H321" s="17">
        <f t="shared" si="27"/>
        <v>728.25</v>
      </c>
      <c r="I321" s="7"/>
    </row>
    <row r="322" spans="1:9" s="8" customFormat="1" ht="15">
      <c r="A322" s="6" t="s">
        <v>410</v>
      </c>
      <c r="B322" s="9" t="s">
        <v>21</v>
      </c>
      <c r="C322" s="9" t="s">
        <v>76</v>
      </c>
      <c r="D322" s="9">
        <v>29.13</v>
      </c>
      <c r="E322" s="15">
        <f t="shared" si="24"/>
        <v>24.074380165289256</v>
      </c>
      <c r="F322" s="15">
        <f t="shared" si="25"/>
        <v>41.614285714285714</v>
      </c>
      <c r="G322" s="16">
        <f t="shared" si="26"/>
        <v>1040</v>
      </c>
      <c r="H322" s="17">
        <f t="shared" si="27"/>
        <v>728.25</v>
      </c>
      <c r="I322" s="7"/>
    </row>
    <row r="323" spans="1:9" s="8" customFormat="1" ht="15">
      <c r="A323" s="6" t="s">
        <v>411</v>
      </c>
      <c r="B323" s="9" t="s">
        <v>21</v>
      </c>
      <c r="C323" s="9" t="s">
        <v>77</v>
      </c>
      <c r="D323" s="9">
        <v>29.13</v>
      </c>
      <c r="E323" s="15">
        <f t="shared" si="24"/>
        <v>24.074380165289256</v>
      </c>
      <c r="F323" s="15">
        <f t="shared" si="25"/>
        <v>41.614285714285714</v>
      </c>
      <c r="G323" s="16">
        <f t="shared" si="26"/>
        <v>1040</v>
      </c>
      <c r="H323" s="17">
        <f t="shared" si="27"/>
        <v>728.25</v>
      </c>
      <c r="I323" s="7"/>
    </row>
    <row r="324" spans="1:9" s="8" customFormat="1" ht="15">
      <c r="A324" s="6" t="s">
        <v>408</v>
      </c>
      <c r="B324" s="9" t="s">
        <v>21</v>
      </c>
      <c r="C324" s="9" t="s">
        <v>74</v>
      </c>
      <c r="D324" s="9">
        <v>29.13</v>
      </c>
      <c r="E324" s="15">
        <f t="shared" si="24"/>
        <v>24.074380165289256</v>
      </c>
      <c r="F324" s="15">
        <f t="shared" si="25"/>
        <v>41.614285714285714</v>
      </c>
      <c r="G324" s="16">
        <f t="shared" si="26"/>
        <v>1040</v>
      </c>
      <c r="H324" s="17">
        <f t="shared" si="27"/>
        <v>728.25</v>
      </c>
      <c r="I324" s="7"/>
    </row>
    <row r="325" spans="1:9" s="8" customFormat="1" ht="15">
      <c r="A325" s="6" t="s">
        <v>409</v>
      </c>
      <c r="B325" s="9" t="s">
        <v>21</v>
      </c>
      <c r="C325" s="9" t="s">
        <v>75</v>
      </c>
      <c r="D325" s="9">
        <v>29.13</v>
      </c>
      <c r="E325" s="15">
        <f t="shared" si="24"/>
        <v>24.074380165289256</v>
      </c>
      <c r="F325" s="15">
        <f t="shared" si="25"/>
        <v>41.614285714285714</v>
      </c>
      <c r="G325" s="16">
        <f t="shared" si="26"/>
        <v>1040</v>
      </c>
      <c r="H325" s="17">
        <f t="shared" si="27"/>
        <v>728.25</v>
      </c>
      <c r="I325" s="7"/>
    </row>
    <row r="326" spans="1:9" s="8" customFormat="1" ht="15">
      <c r="A326" s="13" t="s">
        <v>412</v>
      </c>
      <c r="B326" s="9" t="s">
        <v>28</v>
      </c>
      <c r="C326" s="9" t="s">
        <v>134</v>
      </c>
      <c r="D326" s="9">
        <v>21.67</v>
      </c>
      <c r="E326" s="15">
        <f t="shared" si="24"/>
        <v>17.90909090909091</v>
      </c>
      <c r="F326" s="15">
        <f t="shared" si="25"/>
        <v>30.95714285714286</v>
      </c>
      <c r="G326" s="16">
        <f t="shared" si="26"/>
        <v>770</v>
      </c>
      <c r="H326" s="17">
        <f t="shared" si="27"/>
        <v>541.75</v>
      </c>
      <c r="I326" s="7"/>
    </row>
    <row r="327" spans="1:9" s="8" customFormat="1" ht="15">
      <c r="A327" s="6" t="s">
        <v>413</v>
      </c>
      <c r="B327" s="9" t="s">
        <v>28</v>
      </c>
      <c r="C327" s="9" t="s">
        <v>124</v>
      </c>
      <c r="D327" s="9">
        <v>18.51</v>
      </c>
      <c r="E327" s="15">
        <f t="shared" si="24"/>
        <v>15.297520661157026</v>
      </c>
      <c r="F327" s="15">
        <f t="shared" si="25"/>
        <v>26.442857142857147</v>
      </c>
      <c r="G327" s="16">
        <f t="shared" si="26"/>
        <v>660</v>
      </c>
      <c r="H327" s="17">
        <f t="shared" si="27"/>
        <v>462.75000000000006</v>
      </c>
      <c r="I327" s="7"/>
    </row>
    <row r="328" spans="1:9" s="8" customFormat="1" ht="15">
      <c r="A328" s="6" t="s">
        <v>414</v>
      </c>
      <c r="B328" s="9" t="s">
        <v>28</v>
      </c>
      <c r="C328" s="9" t="s">
        <v>123</v>
      </c>
      <c r="D328" s="9">
        <v>53.27</v>
      </c>
      <c r="E328" s="15">
        <f t="shared" si="24"/>
        <v>44.02479338842976</v>
      </c>
      <c r="F328" s="15">
        <f t="shared" si="25"/>
        <v>76.10000000000001</v>
      </c>
      <c r="G328" s="16">
        <f t="shared" si="26"/>
        <v>1900</v>
      </c>
      <c r="H328" s="17">
        <f t="shared" si="27"/>
        <v>1331.75</v>
      </c>
      <c r="I328" s="7"/>
    </row>
    <row r="329" spans="1:9" s="8" customFormat="1" ht="15">
      <c r="A329" s="6" t="s">
        <v>415</v>
      </c>
      <c r="B329" s="9" t="s">
        <v>20</v>
      </c>
      <c r="C329" s="9" t="s">
        <v>80</v>
      </c>
      <c r="D329" s="9">
        <v>18.02</v>
      </c>
      <c r="E329" s="15">
        <f t="shared" si="24"/>
        <v>14.892561983471074</v>
      </c>
      <c r="F329" s="15">
        <f t="shared" si="25"/>
        <v>25.742857142857144</v>
      </c>
      <c r="G329" s="16">
        <f t="shared" si="26"/>
        <v>640</v>
      </c>
      <c r="H329" s="17">
        <f t="shared" si="27"/>
        <v>450.49999999999994</v>
      </c>
      <c r="I329" s="7"/>
    </row>
    <row r="330" spans="1:9" s="8" customFormat="1" ht="15">
      <c r="A330" s="6" t="s">
        <v>416</v>
      </c>
      <c r="B330" s="9" t="s">
        <v>20</v>
      </c>
      <c r="C330" s="9" t="s">
        <v>81</v>
      </c>
      <c r="D330" s="9">
        <v>9.76</v>
      </c>
      <c r="E330" s="15">
        <f t="shared" si="24"/>
        <v>8.066115702479339</v>
      </c>
      <c r="F330" s="15">
        <f t="shared" si="25"/>
        <v>13.942857142857143</v>
      </c>
      <c r="G330" s="16">
        <f t="shared" si="26"/>
        <v>350</v>
      </c>
      <c r="H330" s="17">
        <f t="shared" si="27"/>
        <v>243.99999999999997</v>
      </c>
      <c r="I330" s="7"/>
    </row>
    <row r="331" spans="1:9" s="8" customFormat="1" ht="15">
      <c r="A331" s="6" t="s">
        <v>417</v>
      </c>
      <c r="B331" s="9" t="s">
        <v>20</v>
      </c>
      <c r="C331" s="9" t="s">
        <v>82</v>
      </c>
      <c r="D331" s="9">
        <v>18.27</v>
      </c>
      <c r="E331" s="15">
        <f t="shared" si="24"/>
        <v>15.099173553719009</v>
      </c>
      <c r="F331" s="15">
        <f t="shared" si="25"/>
        <v>26.1</v>
      </c>
      <c r="G331" s="16">
        <f t="shared" si="26"/>
        <v>650</v>
      </c>
      <c r="H331" s="17">
        <f t="shared" si="27"/>
        <v>456.74999999999994</v>
      </c>
      <c r="I331" s="7"/>
    </row>
    <row r="332" spans="1:9" s="8" customFormat="1" ht="15">
      <c r="A332" s="6" t="s">
        <v>418</v>
      </c>
      <c r="B332" s="9" t="s">
        <v>20</v>
      </c>
      <c r="C332" s="9" t="s">
        <v>83</v>
      </c>
      <c r="D332" s="9">
        <v>34.56</v>
      </c>
      <c r="E332" s="15">
        <f t="shared" si="24"/>
        <v>28.561983471074385</v>
      </c>
      <c r="F332" s="15">
        <f t="shared" si="25"/>
        <v>49.37142857142859</v>
      </c>
      <c r="G332" s="16">
        <f t="shared" si="26"/>
        <v>1230</v>
      </c>
      <c r="H332" s="17">
        <f t="shared" si="27"/>
        <v>864.0000000000002</v>
      </c>
      <c r="I332" s="7"/>
    </row>
    <row r="333" spans="1:9" s="8" customFormat="1" ht="15" hidden="1">
      <c r="A333" s="6" t="s">
        <v>1030</v>
      </c>
      <c r="B333" s="9" t="s">
        <v>20</v>
      </c>
      <c r="C333" s="9" t="s">
        <v>1031</v>
      </c>
      <c r="D333" s="9">
        <v>42.83</v>
      </c>
      <c r="E333" s="15">
        <f t="shared" si="24"/>
        <v>35.396694214876035</v>
      </c>
      <c r="F333" s="15">
        <f>(E333/0.7)*1.21</f>
        <v>61.18571428571429</v>
      </c>
      <c r="G333" s="16">
        <f>ROUND((F333/1.21)*1.21*$I$1,-1)</f>
        <v>1530</v>
      </c>
      <c r="H333" s="17">
        <f>(F333/1.21)*1.21*$I$1*0.7</f>
        <v>1070.75</v>
      </c>
      <c r="I333" s="7"/>
    </row>
    <row r="334" spans="1:9" s="8" customFormat="1" ht="15" hidden="1">
      <c r="A334" s="6" t="s">
        <v>419</v>
      </c>
      <c r="B334" s="9" t="s">
        <v>783</v>
      </c>
      <c r="C334" s="9" t="s">
        <v>780</v>
      </c>
      <c r="D334" s="9">
        <v>47.39</v>
      </c>
      <c r="E334" s="15">
        <f t="shared" si="24"/>
        <v>39.16528925619835</v>
      </c>
      <c r="F334" s="15">
        <f t="shared" si="25"/>
        <v>67.7</v>
      </c>
      <c r="G334" s="16">
        <f t="shared" si="26"/>
        <v>1690</v>
      </c>
      <c r="H334" s="17">
        <f t="shared" si="27"/>
        <v>1184.75</v>
      </c>
      <c r="I334" s="7"/>
    </row>
    <row r="335" spans="1:9" s="8" customFormat="1" ht="15">
      <c r="A335" s="6" t="s">
        <v>420</v>
      </c>
      <c r="B335" s="9" t="s">
        <v>26</v>
      </c>
      <c r="C335" s="9" t="s">
        <v>78</v>
      </c>
      <c r="D335" s="9">
        <v>29.57</v>
      </c>
      <c r="E335" s="15">
        <f t="shared" si="24"/>
        <v>24.43801652892562</v>
      </c>
      <c r="F335" s="15">
        <f t="shared" si="25"/>
        <v>42.24285714285715</v>
      </c>
      <c r="G335" s="16">
        <f t="shared" si="26"/>
        <v>1060</v>
      </c>
      <c r="H335" s="17">
        <f t="shared" si="27"/>
        <v>739.25</v>
      </c>
      <c r="I335" s="7"/>
    </row>
    <row r="336" spans="1:9" s="8" customFormat="1" ht="15" hidden="1">
      <c r="A336" s="6" t="s">
        <v>421</v>
      </c>
      <c r="B336" s="9" t="s">
        <v>26</v>
      </c>
      <c r="C336" s="9" t="s">
        <v>79</v>
      </c>
      <c r="D336" s="9"/>
      <c r="E336" s="15">
        <f t="shared" si="24"/>
        <v>0</v>
      </c>
      <c r="F336" s="15">
        <f t="shared" si="25"/>
        <v>0</v>
      </c>
      <c r="G336" s="16">
        <f t="shared" si="26"/>
        <v>0</v>
      </c>
      <c r="H336" s="17">
        <f t="shared" si="27"/>
        <v>0</v>
      </c>
      <c r="I336" s="7"/>
    </row>
    <row r="337" spans="1:9" s="8" customFormat="1" ht="15">
      <c r="A337" s="6" t="s">
        <v>972</v>
      </c>
      <c r="B337" s="9" t="s">
        <v>26</v>
      </c>
      <c r="C337" s="9" t="s">
        <v>973</v>
      </c>
      <c r="D337" s="9">
        <v>29.57</v>
      </c>
      <c r="E337" s="15">
        <f t="shared" si="24"/>
        <v>24.43801652892562</v>
      </c>
      <c r="F337" s="15">
        <f t="shared" si="25"/>
        <v>42.24285714285715</v>
      </c>
      <c r="G337" s="16">
        <f t="shared" si="26"/>
        <v>1060</v>
      </c>
      <c r="H337" s="17">
        <f t="shared" si="27"/>
        <v>739.25</v>
      </c>
      <c r="I337" s="10"/>
    </row>
    <row r="338" spans="1:9" s="8" customFormat="1" ht="15" hidden="1">
      <c r="A338" s="6" t="s">
        <v>970</v>
      </c>
      <c r="B338" s="9" t="s">
        <v>26</v>
      </c>
      <c r="C338" s="9" t="s">
        <v>971</v>
      </c>
      <c r="D338" s="9"/>
      <c r="E338" s="15">
        <f t="shared" si="24"/>
        <v>0</v>
      </c>
      <c r="F338" s="15">
        <f t="shared" si="25"/>
        <v>0</v>
      </c>
      <c r="G338" s="16">
        <f t="shared" si="26"/>
        <v>0</v>
      </c>
      <c r="H338" s="17">
        <f t="shared" si="27"/>
        <v>0</v>
      </c>
      <c r="I338" s="10"/>
    </row>
    <row r="339" spans="1:9" s="8" customFormat="1" ht="15" hidden="1">
      <c r="A339" s="6" t="s">
        <v>422</v>
      </c>
      <c r="B339" s="9" t="s">
        <v>25</v>
      </c>
      <c r="C339" s="9" t="s">
        <v>781</v>
      </c>
      <c r="D339" s="9">
        <v>19.7</v>
      </c>
      <c r="E339" s="15">
        <f t="shared" si="24"/>
        <v>16.28099173553719</v>
      </c>
      <c r="F339" s="15">
        <f t="shared" si="25"/>
        <v>28.142857142857142</v>
      </c>
      <c r="G339" s="16">
        <f t="shared" si="26"/>
        <v>700</v>
      </c>
      <c r="H339" s="17">
        <f t="shared" si="27"/>
        <v>492.49999999999994</v>
      </c>
      <c r="I339" s="7"/>
    </row>
    <row r="340" spans="1:9" s="8" customFormat="1" ht="15" hidden="1">
      <c r="A340" s="7" t="s">
        <v>136</v>
      </c>
      <c r="B340" s="7" t="s">
        <v>786</v>
      </c>
      <c r="C340" s="7" t="s">
        <v>137</v>
      </c>
      <c r="D340" s="7"/>
      <c r="E340" s="11">
        <v>28.56</v>
      </c>
      <c r="F340" s="15">
        <f t="shared" si="25"/>
        <v>49.368</v>
      </c>
      <c r="G340" s="16">
        <f t="shared" si="26"/>
        <v>1230</v>
      </c>
      <c r="H340" s="17">
        <f t="shared" si="27"/>
        <v>863.9399999999999</v>
      </c>
      <c r="I340" s="7"/>
    </row>
    <row r="341" spans="1:9" s="8" customFormat="1" ht="15" hidden="1">
      <c r="A341" s="7" t="s">
        <v>138</v>
      </c>
      <c r="B341" s="7" t="s">
        <v>786</v>
      </c>
      <c r="C341" s="7" t="s">
        <v>139</v>
      </c>
      <c r="D341" s="7"/>
      <c r="E341" s="11">
        <v>57.12</v>
      </c>
      <c r="F341" s="15">
        <f t="shared" si="25"/>
        <v>98.736</v>
      </c>
      <c r="G341" s="16">
        <f t="shared" si="26"/>
        <v>2470</v>
      </c>
      <c r="H341" s="17">
        <f t="shared" si="27"/>
        <v>1727.8799999999999</v>
      </c>
      <c r="I341" s="7"/>
    </row>
    <row r="342" spans="1:9" s="8" customFormat="1" ht="15" hidden="1">
      <c r="A342" s="7" t="s">
        <v>140</v>
      </c>
      <c r="B342" s="7" t="s">
        <v>786</v>
      </c>
      <c r="C342" s="7" t="s">
        <v>141</v>
      </c>
      <c r="D342" s="7"/>
      <c r="E342" s="11">
        <v>28.56</v>
      </c>
      <c r="F342" s="15">
        <f t="shared" si="25"/>
        <v>49.368</v>
      </c>
      <c r="G342" s="16">
        <f t="shared" si="26"/>
        <v>1230</v>
      </c>
      <c r="H342" s="17">
        <f t="shared" si="27"/>
        <v>863.9399999999999</v>
      </c>
      <c r="I342" s="7"/>
    </row>
    <row r="343" spans="1:9" s="8" customFormat="1" ht="15" hidden="1">
      <c r="A343" s="7" t="s">
        <v>142</v>
      </c>
      <c r="B343" s="7" t="s">
        <v>786</v>
      </c>
      <c r="C343" s="7" t="s">
        <v>143</v>
      </c>
      <c r="D343" s="7"/>
      <c r="E343" s="11">
        <v>57.12</v>
      </c>
      <c r="F343" s="15">
        <f t="shared" si="25"/>
        <v>98.736</v>
      </c>
      <c r="G343" s="16">
        <f t="shared" si="26"/>
        <v>2470</v>
      </c>
      <c r="H343" s="17">
        <f t="shared" si="27"/>
        <v>1727.8799999999999</v>
      </c>
      <c r="I343" s="7"/>
    </row>
    <row r="344" spans="1:9" s="8" customFormat="1" ht="15" hidden="1">
      <c r="A344" s="7" t="s">
        <v>144</v>
      </c>
      <c r="B344" s="7" t="s">
        <v>786</v>
      </c>
      <c r="C344" s="7" t="s">
        <v>145</v>
      </c>
      <c r="D344" s="7"/>
      <c r="E344" s="11">
        <v>28.56</v>
      </c>
      <c r="F344" s="15">
        <f t="shared" si="25"/>
        <v>49.368</v>
      </c>
      <c r="G344" s="16">
        <f t="shared" si="26"/>
        <v>1230</v>
      </c>
      <c r="H344" s="17">
        <f t="shared" si="27"/>
        <v>863.9399999999999</v>
      </c>
      <c r="I344" s="7"/>
    </row>
    <row r="345" spans="1:9" s="8" customFormat="1" ht="15" hidden="1">
      <c r="A345" s="7" t="s">
        <v>146</v>
      </c>
      <c r="B345" s="7" t="s">
        <v>786</v>
      </c>
      <c r="C345" s="7" t="s">
        <v>147</v>
      </c>
      <c r="D345" s="7"/>
      <c r="E345" s="11">
        <v>57.12</v>
      </c>
      <c r="F345" s="15">
        <f t="shared" si="25"/>
        <v>98.736</v>
      </c>
      <c r="G345" s="16">
        <f t="shared" si="26"/>
        <v>2470</v>
      </c>
      <c r="H345" s="17">
        <f t="shared" si="27"/>
        <v>1727.8799999999999</v>
      </c>
      <c r="I345" s="7"/>
    </row>
    <row r="346" spans="1:9" s="8" customFormat="1" ht="15" hidden="1">
      <c r="A346" s="7" t="s">
        <v>148</v>
      </c>
      <c r="B346" s="7" t="s">
        <v>786</v>
      </c>
      <c r="C346" s="7" t="s">
        <v>149</v>
      </c>
      <c r="D346" s="7"/>
      <c r="E346" s="11">
        <v>28.56</v>
      </c>
      <c r="F346" s="15">
        <f t="shared" si="25"/>
        <v>49.368</v>
      </c>
      <c r="G346" s="16">
        <f t="shared" si="26"/>
        <v>1230</v>
      </c>
      <c r="H346" s="17">
        <f t="shared" si="27"/>
        <v>863.9399999999999</v>
      </c>
      <c r="I346" s="7"/>
    </row>
    <row r="347" spans="1:9" s="8" customFormat="1" ht="15" hidden="1">
      <c r="A347" s="7" t="s">
        <v>150</v>
      </c>
      <c r="B347" s="7" t="s">
        <v>786</v>
      </c>
      <c r="C347" s="7" t="s">
        <v>151</v>
      </c>
      <c r="D347" s="7"/>
      <c r="E347" s="11">
        <v>57.12</v>
      </c>
      <c r="F347" s="15">
        <f t="shared" si="25"/>
        <v>98.736</v>
      </c>
      <c r="G347" s="16">
        <f t="shared" si="26"/>
        <v>2470</v>
      </c>
      <c r="H347" s="17">
        <f t="shared" si="27"/>
        <v>1727.8799999999999</v>
      </c>
      <c r="I347" s="7"/>
    </row>
    <row r="348" spans="1:9" s="8" customFormat="1" ht="15">
      <c r="A348" s="7" t="s">
        <v>152</v>
      </c>
      <c r="B348" s="7" t="s">
        <v>786</v>
      </c>
      <c r="C348" s="7" t="s">
        <v>153</v>
      </c>
      <c r="D348" s="7"/>
      <c r="E348" s="11">
        <v>14.23</v>
      </c>
      <c r="F348" s="15">
        <f aca="true" t="shared" si="28" ref="F348:F382">(E348/0.7)*1.21</f>
        <v>24.597571428571428</v>
      </c>
      <c r="G348" s="16">
        <f aca="true" t="shared" si="29" ref="G348:G382">ROUND((F348/1.21)*1.21*$I$1,-1)</f>
        <v>610</v>
      </c>
      <c r="H348" s="17">
        <f aca="true" t="shared" si="30" ref="H348:H382">(F348/1.21)*1.21*$I$1*0.7</f>
        <v>430.4575</v>
      </c>
      <c r="I348" s="7"/>
    </row>
    <row r="349" spans="1:9" s="8" customFormat="1" ht="15">
      <c r="A349" s="7" t="s">
        <v>154</v>
      </c>
      <c r="B349" s="7" t="s">
        <v>786</v>
      </c>
      <c r="C349" s="7" t="s">
        <v>656</v>
      </c>
      <c r="D349" s="7"/>
      <c r="E349" s="11">
        <v>14.23</v>
      </c>
      <c r="F349" s="15">
        <f t="shared" si="28"/>
        <v>24.597571428571428</v>
      </c>
      <c r="G349" s="16">
        <f t="shared" si="29"/>
        <v>610</v>
      </c>
      <c r="H349" s="17">
        <f t="shared" si="30"/>
        <v>430.4575</v>
      </c>
      <c r="I349" s="7"/>
    </row>
    <row r="350" spans="1:9" s="8" customFormat="1" ht="15">
      <c r="A350" s="14" t="s">
        <v>810</v>
      </c>
      <c r="B350" s="7" t="s">
        <v>10</v>
      </c>
      <c r="C350" s="14" t="s">
        <v>879</v>
      </c>
      <c r="D350" s="14">
        <v>32.58</v>
      </c>
      <c r="E350" s="15">
        <f aca="true" t="shared" si="31" ref="E350:E356">D350/1.21</f>
        <v>26.925619834710744</v>
      </c>
      <c r="F350" s="15">
        <f t="shared" si="28"/>
        <v>46.54285714285715</v>
      </c>
      <c r="G350" s="16">
        <f t="shared" si="29"/>
        <v>1160</v>
      </c>
      <c r="H350" s="17">
        <f t="shared" si="30"/>
        <v>814.5000000000002</v>
      </c>
      <c r="I350" s="7"/>
    </row>
    <row r="351" spans="1:9" s="8" customFormat="1" ht="15">
      <c r="A351" s="7" t="s">
        <v>811</v>
      </c>
      <c r="B351" s="7" t="s">
        <v>10</v>
      </c>
      <c r="C351" s="7" t="s">
        <v>885</v>
      </c>
      <c r="D351" s="14">
        <v>32.58</v>
      </c>
      <c r="E351" s="15">
        <f t="shared" si="31"/>
        <v>26.925619834710744</v>
      </c>
      <c r="F351" s="15">
        <f t="shared" si="28"/>
        <v>46.54285714285715</v>
      </c>
      <c r="G351" s="16">
        <f t="shared" si="29"/>
        <v>1160</v>
      </c>
      <c r="H351" s="17">
        <f t="shared" si="30"/>
        <v>814.5000000000002</v>
      </c>
      <c r="I351" s="7"/>
    </row>
    <row r="352" spans="1:9" s="8" customFormat="1" ht="15">
      <c r="A352" s="7" t="s">
        <v>812</v>
      </c>
      <c r="B352" s="7" t="s">
        <v>10</v>
      </c>
      <c r="C352" s="7" t="s">
        <v>880</v>
      </c>
      <c r="D352" s="14">
        <v>32.58</v>
      </c>
      <c r="E352" s="15">
        <f t="shared" si="31"/>
        <v>26.925619834710744</v>
      </c>
      <c r="F352" s="15">
        <f t="shared" si="28"/>
        <v>46.54285714285715</v>
      </c>
      <c r="G352" s="16">
        <f t="shared" si="29"/>
        <v>1160</v>
      </c>
      <c r="H352" s="17">
        <f t="shared" si="30"/>
        <v>814.5000000000002</v>
      </c>
      <c r="I352" s="7"/>
    </row>
    <row r="353" spans="1:9" s="8" customFormat="1" ht="15">
      <c r="A353" s="7" t="s">
        <v>813</v>
      </c>
      <c r="B353" s="7" t="s">
        <v>10</v>
      </c>
      <c r="C353" s="7" t="s">
        <v>881</v>
      </c>
      <c r="D353" s="14">
        <v>32.58</v>
      </c>
      <c r="E353" s="15">
        <f t="shared" si="31"/>
        <v>26.925619834710744</v>
      </c>
      <c r="F353" s="15">
        <f t="shared" si="28"/>
        <v>46.54285714285715</v>
      </c>
      <c r="G353" s="16">
        <f t="shared" si="29"/>
        <v>1160</v>
      </c>
      <c r="H353" s="17">
        <f t="shared" si="30"/>
        <v>814.5000000000002</v>
      </c>
      <c r="I353" s="7"/>
    </row>
    <row r="354" spans="1:9" s="8" customFormat="1" ht="15" hidden="1">
      <c r="A354" s="7" t="s">
        <v>814</v>
      </c>
      <c r="B354" s="7" t="s">
        <v>10</v>
      </c>
      <c r="C354" s="7" t="s">
        <v>882</v>
      </c>
      <c r="D354" s="14">
        <v>32.58</v>
      </c>
      <c r="E354" s="15">
        <f t="shared" si="31"/>
        <v>26.925619834710744</v>
      </c>
      <c r="F354" s="15">
        <f t="shared" si="28"/>
        <v>46.54285714285715</v>
      </c>
      <c r="G354" s="16">
        <f t="shared" si="29"/>
        <v>1160</v>
      </c>
      <c r="H354" s="17">
        <f t="shared" si="30"/>
        <v>814.5000000000002</v>
      </c>
      <c r="I354" s="7"/>
    </row>
    <row r="355" spans="1:9" s="8" customFormat="1" ht="15">
      <c r="A355" s="7" t="s">
        <v>815</v>
      </c>
      <c r="B355" s="7" t="s">
        <v>10</v>
      </c>
      <c r="C355" s="7" t="s">
        <v>883</v>
      </c>
      <c r="D355" s="14">
        <v>32.58</v>
      </c>
      <c r="E355" s="15">
        <f t="shared" si="31"/>
        <v>26.925619834710744</v>
      </c>
      <c r="F355" s="15">
        <f t="shared" si="28"/>
        <v>46.54285714285715</v>
      </c>
      <c r="G355" s="16">
        <f t="shared" si="29"/>
        <v>1160</v>
      </c>
      <c r="H355" s="17">
        <f t="shared" si="30"/>
        <v>814.5000000000002</v>
      </c>
      <c r="I355" s="7"/>
    </row>
    <row r="356" spans="1:9" s="8" customFormat="1" ht="15" hidden="1">
      <c r="A356" s="7" t="s">
        <v>816</v>
      </c>
      <c r="B356" s="7" t="s">
        <v>10</v>
      </c>
      <c r="C356" s="7" t="s">
        <v>884</v>
      </c>
      <c r="D356" s="7"/>
      <c r="E356" s="15">
        <f t="shared" si="31"/>
        <v>0</v>
      </c>
      <c r="F356" s="15">
        <f t="shared" si="28"/>
        <v>0</v>
      </c>
      <c r="G356" s="16">
        <f t="shared" si="29"/>
        <v>0</v>
      </c>
      <c r="H356" s="17">
        <f t="shared" si="30"/>
        <v>0</v>
      </c>
      <c r="I356" s="7"/>
    </row>
    <row r="357" spans="1:9" s="8" customFormat="1" ht="15">
      <c r="A357" s="6" t="s">
        <v>427</v>
      </c>
      <c r="B357" s="9" t="s">
        <v>28</v>
      </c>
      <c r="C357" s="9" t="s">
        <v>926</v>
      </c>
      <c r="D357" s="9">
        <v>39</v>
      </c>
      <c r="E357" s="15">
        <f aca="true" t="shared" si="32" ref="E357:E382">D357/1.21</f>
        <v>32.231404958677686</v>
      </c>
      <c r="F357" s="15">
        <f t="shared" si="28"/>
        <v>55.71428571428572</v>
      </c>
      <c r="G357" s="16">
        <f t="shared" si="29"/>
        <v>1390</v>
      </c>
      <c r="H357" s="17">
        <f t="shared" si="30"/>
        <v>975.0000000000001</v>
      </c>
      <c r="I357" s="7"/>
    </row>
    <row r="358" spans="1:9" s="8" customFormat="1" ht="15">
      <c r="A358" s="6" t="s">
        <v>428</v>
      </c>
      <c r="B358" s="9" t="s">
        <v>28</v>
      </c>
      <c r="C358" s="9" t="s">
        <v>927</v>
      </c>
      <c r="D358" s="9">
        <v>97.75</v>
      </c>
      <c r="E358" s="15">
        <f t="shared" si="32"/>
        <v>80.78512396694215</v>
      </c>
      <c r="F358" s="15">
        <f t="shared" si="28"/>
        <v>139.64285714285717</v>
      </c>
      <c r="G358" s="16">
        <f t="shared" si="29"/>
        <v>3490</v>
      </c>
      <c r="H358" s="17">
        <f t="shared" si="30"/>
        <v>2443.7500000000005</v>
      </c>
      <c r="I358" s="7"/>
    </row>
    <row r="359" spans="1:9" s="8" customFormat="1" ht="15">
      <c r="A359" s="6" t="s">
        <v>429</v>
      </c>
      <c r="B359" s="9" t="s">
        <v>28</v>
      </c>
      <c r="C359" s="9" t="s">
        <v>928</v>
      </c>
      <c r="D359" s="9">
        <v>61.22</v>
      </c>
      <c r="E359" s="15">
        <f t="shared" si="32"/>
        <v>50.59504132231405</v>
      </c>
      <c r="F359" s="15">
        <f t="shared" si="28"/>
        <v>87.45714285714287</v>
      </c>
      <c r="G359" s="16">
        <f t="shared" si="29"/>
        <v>2190</v>
      </c>
      <c r="H359" s="17">
        <f t="shared" si="30"/>
        <v>1530.5</v>
      </c>
      <c r="I359" s="7"/>
    </row>
    <row r="360" spans="1:9" s="8" customFormat="1" ht="15">
      <c r="A360" s="6" t="s">
        <v>430</v>
      </c>
      <c r="B360" s="9" t="s">
        <v>28</v>
      </c>
      <c r="C360" s="9" t="s">
        <v>929</v>
      </c>
      <c r="D360" s="9">
        <v>161.93</v>
      </c>
      <c r="E360" s="15">
        <f t="shared" si="32"/>
        <v>133.82644628099175</v>
      </c>
      <c r="F360" s="15">
        <f t="shared" si="28"/>
        <v>231.32857142857145</v>
      </c>
      <c r="G360" s="16">
        <f t="shared" si="29"/>
        <v>5780</v>
      </c>
      <c r="H360" s="17">
        <f t="shared" si="30"/>
        <v>4048.25</v>
      </c>
      <c r="I360" s="7"/>
    </row>
    <row r="361" spans="1:9" s="8" customFormat="1" ht="15">
      <c r="A361" s="6" t="s">
        <v>918</v>
      </c>
      <c r="B361" s="9" t="s">
        <v>28</v>
      </c>
      <c r="C361" s="9" t="s">
        <v>919</v>
      </c>
      <c r="D361" s="9">
        <v>54.3</v>
      </c>
      <c r="E361" s="15">
        <f t="shared" si="32"/>
        <v>44.87603305785124</v>
      </c>
      <c r="F361" s="15">
        <f t="shared" si="28"/>
        <v>77.57142857142857</v>
      </c>
      <c r="G361" s="16">
        <f t="shared" si="29"/>
        <v>1940</v>
      </c>
      <c r="H361" s="17">
        <f t="shared" si="30"/>
        <v>1357.4999999999998</v>
      </c>
      <c r="I361" s="7"/>
    </row>
    <row r="362" spans="1:9" s="8" customFormat="1" ht="15">
      <c r="A362" s="6" t="s">
        <v>922</v>
      </c>
      <c r="B362" s="9" t="s">
        <v>28</v>
      </c>
      <c r="C362" s="9" t="s">
        <v>920</v>
      </c>
      <c r="D362" s="9">
        <v>156</v>
      </c>
      <c r="E362" s="15">
        <f t="shared" si="32"/>
        <v>128.92561983471074</v>
      </c>
      <c r="F362" s="15">
        <f t="shared" si="28"/>
        <v>222.8571428571429</v>
      </c>
      <c r="G362" s="16">
        <f t="shared" si="29"/>
        <v>5570</v>
      </c>
      <c r="H362" s="17">
        <f t="shared" si="30"/>
        <v>3900.0000000000005</v>
      </c>
      <c r="I362" s="7"/>
    </row>
    <row r="363" spans="1:9" s="8" customFormat="1" ht="15">
      <c r="A363" s="6" t="s">
        <v>923</v>
      </c>
      <c r="B363" s="9" t="s">
        <v>28</v>
      </c>
      <c r="C363" s="9" t="s">
        <v>921</v>
      </c>
      <c r="D363" s="9">
        <v>87.88</v>
      </c>
      <c r="E363" s="15">
        <f t="shared" si="32"/>
        <v>72.62809917355372</v>
      </c>
      <c r="F363" s="15">
        <f t="shared" si="28"/>
        <v>125.54285714285714</v>
      </c>
      <c r="G363" s="16">
        <f t="shared" si="29"/>
        <v>3140</v>
      </c>
      <c r="H363" s="17">
        <f t="shared" si="30"/>
        <v>2196.9999999999995</v>
      </c>
      <c r="I363" s="7"/>
    </row>
    <row r="364" spans="1:9" s="8" customFormat="1" ht="15">
      <c r="A364" s="6" t="s">
        <v>924</v>
      </c>
      <c r="B364" s="9" t="s">
        <v>28</v>
      </c>
      <c r="C364" s="9" t="s">
        <v>925</v>
      </c>
      <c r="D364" s="9">
        <v>246.84</v>
      </c>
      <c r="E364" s="15">
        <f t="shared" si="32"/>
        <v>204</v>
      </c>
      <c r="F364" s="15">
        <f t="shared" si="28"/>
        <v>352.62857142857143</v>
      </c>
      <c r="G364" s="16">
        <f t="shared" si="29"/>
        <v>8820</v>
      </c>
      <c r="H364" s="17">
        <f t="shared" si="30"/>
        <v>6171</v>
      </c>
      <c r="I364" s="7"/>
    </row>
    <row r="365" spans="1:9" s="8" customFormat="1" ht="15" hidden="1">
      <c r="A365" s="6" t="s">
        <v>431</v>
      </c>
      <c r="B365" s="9" t="s">
        <v>27</v>
      </c>
      <c r="C365" s="9" t="s">
        <v>615</v>
      </c>
      <c r="D365" s="9">
        <v>21.23</v>
      </c>
      <c r="E365" s="15">
        <f t="shared" si="32"/>
        <v>17.545454545454547</v>
      </c>
      <c r="F365" s="15">
        <f t="shared" si="28"/>
        <v>30.32857142857143</v>
      </c>
      <c r="G365" s="16">
        <f t="shared" si="29"/>
        <v>760</v>
      </c>
      <c r="H365" s="17">
        <f t="shared" si="30"/>
        <v>530.75</v>
      </c>
      <c r="I365" s="7"/>
    </row>
    <row r="366" spans="1:9" s="8" customFormat="1" ht="15" hidden="1">
      <c r="A366" s="6" t="s">
        <v>432</v>
      </c>
      <c r="B366" s="9" t="s">
        <v>27</v>
      </c>
      <c r="C366" s="9" t="s">
        <v>616</v>
      </c>
      <c r="D366" s="9">
        <v>38.51</v>
      </c>
      <c r="E366" s="15">
        <f t="shared" si="32"/>
        <v>31.826446280991735</v>
      </c>
      <c r="F366" s="15">
        <f t="shared" si="28"/>
        <v>55.01428571428572</v>
      </c>
      <c r="G366" s="16">
        <f t="shared" si="29"/>
        <v>1380</v>
      </c>
      <c r="H366" s="17">
        <f t="shared" si="30"/>
        <v>962.75</v>
      </c>
      <c r="I366" s="7"/>
    </row>
    <row r="367" spans="1:9" s="8" customFormat="1" ht="15" hidden="1">
      <c r="A367" s="6" t="s">
        <v>423</v>
      </c>
      <c r="B367" s="9" t="s">
        <v>607</v>
      </c>
      <c r="C367" s="9" t="s">
        <v>771</v>
      </c>
      <c r="D367" s="9"/>
      <c r="E367" s="15">
        <f t="shared" si="32"/>
        <v>0</v>
      </c>
      <c r="F367" s="15">
        <f t="shared" si="28"/>
        <v>0</v>
      </c>
      <c r="G367" s="16">
        <f t="shared" si="29"/>
        <v>0</v>
      </c>
      <c r="H367" s="17">
        <f t="shared" si="30"/>
        <v>0</v>
      </c>
      <c r="I367" s="7"/>
    </row>
    <row r="368" spans="1:9" s="8" customFormat="1" ht="15" hidden="1">
      <c r="A368" s="6" t="s">
        <v>424</v>
      </c>
      <c r="B368" s="9" t="s">
        <v>607</v>
      </c>
      <c r="C368" s="9" t="s">
        <v>770</v>
      </c>
      <c r="D368" s="9"/>
      <c r="E368" s="15">
        <f t="shared" si="32"/>
        <v>0</v>
      </c>
      <c r="F368" s="15">
        <f t="shared" si="28"/>
        <v>0</v>
      </c>
      <c r="G368" s="16">
        <f t="shared" si="29"/>
        <v>0</v>
      </c>
      <c r="H368" s="17">
        <f t="shared" si="30"/>
        <v>0</v>
      </c>
      <c r="I368" s="7"/>
    </row>
    <row r="369" spans="1:9" s="8" customFormat="1" ht="15" hidden="1">
      <c r="A369" s="6" t="s">
        <v>425</v>
      </c>
      <c r="B369" s="9" t="s">
        <v>607</v>
      </c>
      <c r="C369" s="9" t="s">
        <v>769</v>
      </c>
      <c r="D369" s="9"/>
      <c r="E369" s="15">
        <f t="shared" si="32"/>
        <v>0</v>
      </c>
      <c r="F369" s="15">
        <f t="shared" si="28"/>
        <v>0</v>
      </c>
      <c r="G369" s="16">
        <f t="shared" si="29"/>
        <v>0</v>
      </c>
      <c r="H369" s="17">
        <f t="shared" si="30"/>
        <v>0</v>
      </c>
      <c r="I369" s="7"/>
    </row>
    <row r="370" spans="1:9" s="8" customFormat="1" ht="15" hidden="1">
      <c r="A370" s="6" t="s">
        <v>433</v>
      </c>
      <c r="B370" s="9" t="s">
        <v>10</v>
      </c>
      <c r="C370" s="9" t="s">
        <v>789</v>
      </c>
      <c r="D370" s="9">
        <v>86.89</v>
      </c>
      <c r="E370" s="15">
        <f t="shared" si="32"/>
        <v>71.80991735537191</v>
      </c>
      <c r="F370" s="15">
        <f t="shared" si="28"/>
        <v>124.12857142857145</v>
      </c>
      <c r="G370" s="16">
        <f t="shared" si="29"/>
        <v>3100</v>
      </c>
      <c r="H370" s="17">
        <f t="shared" si="30"/>
        <v>2172.25</v>
      </c>
      <c r="I370" s="7"/>
    </row>
    <row r="371" spans="1:9" s="8" customFormat="1" ht="15" hidden="1">
      <c r="A371" s="6" t="s">
        <v>434</v>
      </c>
      <c r="B371" s="9" t="s">
        <v>10</v>
      </c>
      <c r="C371" s="9" t="s">
        <v>790</v>
      </c>
      <c r="D371" s="9">
        <v>488.74</v>
      </c>
      <c r="E371" s="15">
        <f t="shared" si="32"/>
        <v>403.91735537190084</v>
      </c>
      <c r="F371" s="15">
        <f t="shared" si="28"/>
        <v>698.2</v>
      </c>
      <c r="G371" s="16">
        <f t="shared" si="29"/>
        <v>17460</v>
      </c>
      <c r="H371" s="17">
        <f t="shared" si="30"/>
        <v>12218.5</v>
      </c>
      <c r="I371" s="7"/>
    </row>
    <row r="372" spans="1:9" s="8" customFormat="1" ht="15" hidden="1">
      <c r="A372" s="6" t="s">
        <v>435</v>
      </c>
      <c r="B372" s="9" t="s">
        <v>27</v>
      </c>
      <c r="C372" s="9" t="s">
        <v>617</v>
      </c>
      <c r="D372" s="9"/>
      <c r="E372" s="15">
        <f t="shared" si="32"/>
        <v>0</v>
      </c>
      <c r="F372" s="15">
        <f t="shared" si="28"/>
        <v>0</v>
      </c>
      <c r="G372" s="16">
        <f t="shared" si="29"/>
        <v>0</v>
      </c>
      <c r="H372" s="17">
        <f t="shared" si="30"/>
        <v>0</v>
      </c>
      <c r="I372" s="7"/>
    </row>
    <row r="373" spans="1:9" s="8" customFormat="1" ht="15" hidden="1">
      <c r="A373" s="6" t="s">
        <v>436</v>
      </c>
      <c r="B373" s="9" t="s">
        <v>27</v>
      </c>
      <c r="C373" s="9" t="s">
        <v>618</v>
      </c>
      <c r="D373" s="9"/>
      <c r="E373" s="15">
        <f t="shared" si="32"/>
        <v>0</v>
      </c>
      <c r="F373" s="15">
        <f t="shared" si="28"/>
        <v>0</v>
      </c>
      <c r="G373" s="16">
        <f t="shared" si="29"/>
        <v>0</v>
      </c>
      <c r="H373" s="17">
        <f t="shared" si="30"/>
        <v>0</v>
      </c>
      <c r="I373" s="7"/>
    </row>
    <row r="374" spans="1:9" s="8" customFormat="1" ht="15">
      <c r="A374" s="6" t="s">
        <v>437</v>
      </c>
      <c r="B374" s="9" t="s">
        <v>10</v>
      </c>
      <c r="C374" s="9" t="s">
        <v>791</v>
      </c>
      <c r="D374" s="9">
        <v>245.85</v>
      </c>
      <c r="E374" s="15">
        <f t="shared" si="32"/>
        <v>203.1818181818182</v>
      </c>
      <c r="F374" s="15">
        <f t="shared" si="28"/>
        <v>351.2142857142857</v>
      </c>
      <c r="G374" s="16">
        <f t="shared" si="29"/>
        <v>8780</v>
      </c>
      <c r="H374" s="17">
        <f t="shared" si="30"/>
        <v>6146.25</v>
      </c>
      <c r="I374" s="7"/>
    </row>
    <row r="375" spans="1:9" s="8" customFormat="1" ht="15" hidden="1">
      <c r="A375" s="6" t="s">
        <v>438</v>
      </c>
      <c r="B375" s="9" t="s">
        <v>10</v>
      </c>
      <c r="C375" s="9" t="s">
        <v>900</v>
      </c>
      <c r="D375" s="9">
        <v>24.63</v>
      </c>
      <c r="E375" s="15">
        <f t="shared" si="32"/>
        <v>20.355371900826444</v>
      </c>
      <c r="F375" s="15">
        <f t="shared" si="28"/>
        <v>35.18571428571428</v>
      </c>
      <c r="G375" s="16">
        <f t="shared" si="29"/>
        <v>880</v>
      </c>
      <c r="H375" s="17">
        <f t="shared" si="30"/>
        <v>615.7499999999999</v>
      </c>
      <c r="I375" s="7"/>
    </row>
    <row r="376" spans="1:9" s="8" customFormat="1" ht="15">
      <c r="A376" s="6" t="s">
        <v>439</v>
      </c>
      <c r="B376" s="9" t="s">
        <v>10</v>
      </c>
      <c r="C376" s="9" t="s">
        <v>901</v>
      </c>
      <c r="D376" s="9">
        <v>24.63</v>
      </c>
      <c r="E376" s="15">
        <f t="shared" si="32"/>
        <v>20.355371900826444</v>
      </c>
      <c r="F376" s="15">
        <f t="shared" si="28"/>
        <v>35.18571428571428</v>
      </c>
      <c r="G376" s="16">
        <f t="shared" si="29"/>
        <v>880</v>
      </c>
      <c r="H376" s="17">
        <f t="shared" si="30"/>
        <v>615.7499999999999</v>
      </c>
      <c r="I376" s="7"/>
    </row>
    <row r="377" spans="1:9" s="8" customFormat="1" ht="15" hidden="1">
      <c r="A377" s="6" t="s">
        <v>440</v>
      </c>
      <c r="B377" s="9" t="s">
        <v>10</v>
      </c>
      <c r="C377" s="9" t="s">
        <v>902</v>
      </c>
      <c r="D377" s="9"/>
      <c r="E377" s="15">
        <f t="shared" si="32"/>
        <v>0</v>
      </c>
      <c r="F377" s="15">
        <f t="shared" si="28"/>
        <v>0</v>
      </c>
      <c r="G377" s="16">
        <f t="shared" si="29"/>
        <v>0</v>
      </c>
      <c r="H377" s="17">
        <f t="shared" si="30"/>
        <v>0</v>
      </c>
      <c r="I377" s="7"/>
    </row>
    <row r="378" spans="1:9" s="8" customFormat="1" ht="15">
      <c r="A378" s="6" t="s">
        <v>441</v>
      </c>
      <c r="B378" s="9" t="s">
        <v>10</v>
      </c>
      <c r="C378" s="9" t="s">
        <v>903</v>
      </c>
      <c r="D378" s="9">
        <v>24.63</v>
      </c>
      <c r="E378" s="15">
        <f t="shared" si="32"/>
        <v>20.355371900826444</v>
      </c>
      <c r="F378" s="15">
        <f t="shared" si="28"/>
        <v>35.18571428571428</v>
      </c>
      <c r="G378" s="16">
        <f t="shared" si="29"/>
        <v>880</v>
      </c>
      <c r="H378" s="17">
        <f t="shared" si="30"/>
        <v>615.7499999999999</v>
      </c>
      <c r="I378" s="7"/>
    </row>
    <row r="379" spans="1:9" s="8" customFormat="1" ht="15">
      <c r="A379" s="6" t="s">
        <v>1040</v>
      </c>
      <c r="B379" s="9" t="s">
        <v>10</v>
      </c>
      <c r="C379" s="9" t="s">
        <v>1041</v>
      </c>
      <c r="D379" s="9">
        <v>24.63</v>
      </c>
      <c r="E379" s="15">
        <f>D379/1.21</f>
        <v>20.355371900826444</v>
      </c>
      <c r="F379" s="15">
        <f>(E379/0.7)*1.21</f>
        <v>35.18571428571428</v>
      </c>
      <c r="G379" s="16">
        <f>ROUND((F379/1.21)*1.21*$I$1,-1)</f>
        <v>880</v>
      </c>
      <c r="H379" s="17">
        <f>(F379/1.21)*1.21*$I$1*0.7</f>
        <v>615.7499999999999</v>
      </c>
      <c r="I379" s="7"/>
    </row>
    <row r="380" spans="1:9" s="8" customFormat="1" ht="15">
      <c r="A380" s="6" t="s">
        <v>1039</v>
      </c>
      <c r="B380" s="9" t="s">
        <v>10</v>
      </c>
      <c r="C380" s="9" t="s">
        <v>1042</v>
      </c>
      <c r="D380" s="9">
        <v>24.63</v>
      </c>
      <c r="E380" s="15">
        <f>D380/1.21</f>
        <v>20.355371900826444</v>
      </c>
      <c r="F380" s="15">
        <f>(E380/0.7)*1.21</f>
        <v>35.18571428571428</v>
      </c>
      <c r="G380" s="16">
        <f>ROUND((F380/1.21)*1.21*$I$1,-1)</f>
        <v>880</v>
      </c>
      <c r="H380" s="17">
        <f>(F380/1.21)*1.21*$I$1*0.7</f>
        <v>615.7499999999999</v>
      </c>
      <c r="I380" s="7"/>
    </row>
    <row r="381" spans="1:9" s="8" customFormat="1" ht="15">
      <c r="A381" s="6" t="s">
        <v>442</v>
      </c>
      <c r="B381" s="9" t="s">
        <v>10</v>
      </c>
      <c r="C381" s="9" t="s">
        <v>904</v>
      </c>
      <c r="D381" s="9">
        <v>24.63</v>
      </c>
      <c r="E381" s="15">
        <f t="shared" si="32"/>
        <v>20.355371900826444</v>
      </c>
      <c r="F381" s="15">
        <f t="shared" si="28"/>
        <v>35.18571428571428</v>
      </c>
      <c r="G381" s="16">
        <f t="shared" si="29"/>
        <v>880</v>
      </c>
      <c r="H381" s="17">
        <f t="shared" si="30"/>
        <v>615.7499999999999</v>
      </c>
      <c r="I381" s="7"/>
    </row>
    <row r="382" spans="1:9" s="8" customFormat="1" ht="15" hidden="1">
      <c r="A382" s="6" t="s">
        <v>443</v>
      </c>
      <c r="B382" s="9" t="s">
        <v>10</v>
      </c>
      <c r="C382" s="9" t="s">
        <v>905</v>
      </c>
      <c r="D382" s="9">
        <v>24.63</v>
      </c>
      <c r="E382" s="15">
        <f t="shared" si="32"/>
        <v>20.355371900826444</v>
      </c>
      <c r="F382" s="15">
        <f t="shared" si="28"/>
        <v>35.18571428571428</v>
      </c>
      <c r="G382" s="16">
        <f t="shared" si="29"/>
        <v>880</v>
      </c>
      <c r="H382" s="17">
        <f t="shared" si="30"/>
        <v>615.7499999999999</v>
      </c>
      <c r="I382" s="7"/>
    </row>
    <row r="383" spans="1:9" s="8" customFormat="1" ht="15">
      <c r="A383" s="7" t="s">
        <v>998</v>
      </c>
      <c r="B383" s="7" t="s">
        <v>10</v>
      </c>
      <c r="C383" s="9" t="s">
        <v>999</v>
      </c>
      <c r="D383" s="9">
        <v>39.44</v>
      </c>
      <c r="E383" s="15">
        <f aca="true" t="shared" si="33" ref="E383:E391">D383/1.21</f>
        <v>32.595041322314046</v>
      </c>
      <c r="F383" s="15">
        <f aca="true" t="shared" si="34" ref="F383:F394">(E383/0.7)*1.21</f>
        <v>56.342857142857135</v>
      </c>
      <c r="G383" s="16">
        <f aca="true" t="shared" si="35" ref="G383:G394">ROUND((F383/1.21)*1.21*$I$1,-1)</f>
        <v>1410</v>
      </c>
      <c r="H383" s="17">
        <f aca="true" t="shared" si="36" ref="H383:H394">(F383/1.21)*1.21*$I$1*0.7</f>
        <v>985.9999999999999</v>
      </c>
      <c r="I383" s="10"/>
    </row>
    <row r="384" spans="1:9" s="8" customFormat="1" ht="15" hidden="1">
      <c r="A384" s="7" t="s">
        <v>817</v>
      </c>
      <c r="B384" s="7" t="s">
        <v>10</v>
      </c>
      <c r="C384" s="9" t="s">
        <v>907</v>
      </c>
      <c r="D384" s="9"/>
      <c r="E384" s="15">
        <f t="shared" si="33"/>
        <v>0</v>
      </c>
      <c r="F384" s="15">
        <f t="shared" si="34"/>
        <v>0</v>
      </c>
      <c r="G384" s="16">
        <f t="shared" si="35"/>
        <v>0</v>
      </c>
      <c r="H384" s="17">
        <f t="shared" si="36"/>
        <v>0</v>
      </c>
      <c r="I384" s="7"/>
    </row>
    <row r="385" spans="1:9" s="8" customFormat="1" ht="15" hidden="1">
      <c r="A385" s="6" t="s">
        <v>444</v>
      </c>
      <c r="B385" s="9" t="s">
        <v>10</v>
      </c>
      <c r="C385" s="9" t="s">
        <v>906</v>
      </c>
      <c r="D385" s="9">
        <v>39.44</v>
      </c>
      <c r="E385" s="15">
        <f t="shared" si="33"/>
        <v>32.595041322314046</v>
      </c>
      <c r="F385" s="15">
        <f t="shared" si="34"/>
        <v>56.342857142857135</v>
      </c>
      <c r="G385" s="16">
        <f t="shared" si="35"/>
        <v>1410</v>
      </c>
      <c r="H385" s="17">
        <f t="shared" si="36"/>
        <v>985.9999999999999</v>
      </c>
      <c r="I385" s="7"/>
    </row>
    <row r="386" spans="1:9" s="8" customFormat="1" ht="15" hidden="1">
      <c r="A386" s="6" t="s">
        <v>996</v>
      </c>
      <c r="B386" s="9" t="s">
        <v>10</v>
      </c>
      <c r="C386" s="9" t="s">
        <v>997</v>
      </c>
      <c r="D386" s="9">
        <v>39.44</v>
      </c>
      <c r="E386" s="15">
        <f t="shared" si="33"/>
        <v>32.595041322314046</v>
      </c>
      <c r="F386" s="15">
        <f t="shared" si="34"/>
        <v>56.342857142857135</v>
      </c>
      <c r="G386" s="16">
        <f t="shared" si="35"/>
        <v>1410</v>
      </c>
      <c r="H386" s="17">
        <f t="shared" si="36"/>
        <v>985.9999999999999</v>
      </c>
      <c r="I386" s="10"/>
    </row>
    <row r="387" spans="1:9" s="8" customFormat="1" ht="15" hidden="1">
      <c r="A387" s="7" t="s">
        <v>818</v>
      </c>
      <c r="B387" s="7" t="s">
        <v>10</v>
      </c>
      <c r="C387" s="9" t="s">
        <v>908</v>
      </c>
      <c r="D387" s="9"/>
      <c r="E387" s="15">
        <f t="shared" si="33"/>
        <v>0</v>
      </c>
      <c r="F387" s="15">
        <f t="shared" si="34"/>
        <v>0</v>
      </c>
      <c r="G387" s="16">
        <f t="shared" si="35"/>
        <v>0</v>
      </c>
      <c r="H387" s="17">
        <f t="shared" si="36"/>
        <v>0</v>
      </c>
      <c r="I387" s="7"/>
    </row>
    <row r="388" spans="1:9" s="8" customFormat="1" ht="15" hidden="1">
      <c r="A388" s="7" t="s">
        <v>819</v>
      </c>
      <c r="B388" s="7" t="s">
        <v>10</v>
      </c>
      <c r="C388" s="9" t="s">
        <v>912</v>
      </c>
      <c r="D388" s="9"/>
      <c r="E388" s="15">
        <f t="shared" si="33"/>
        <v>0</v>
      </c>
      <c r="F388" s="15">
        <f t="shared" si="34"/>
        <v>0</v>
      </c>
      <c r="G388" s="16">
        <f t="shared" si="35"/>
        <v>0</v>
      </c>
      <c r="H388" s="17">
        <f t="shared" si="36"/>
        <v>0</v>
      </c>
      <c r="I388" s="7"/>
    </row>
    <row r="389" spans="1:9" s="8" customFormat="1" ht="15">
      <c r="A389" s="6" t="s">
        <v>445</v>
      </c>
      <c r="B389" s="9" t="s">
        <v>10</v>
      </c>
      <c r="C389" s="9" t="s">
        <v>911</v>
      </c>
      <c r="D389" s="9">
        <v>39.44</v>
      </c>
      <c r="E389" s="15">
        <f t="shared" si="33"/>
        <v>32.595041322314046</v>
      </c>
      <c r="F389" s="15">
        <f t="shared" si="34"/>
        <v>56.342857142857135</v>
      </c>
      <c r="G389" s="16">
        <f t="shared" si="35"/>
        <v>1410</v>
      </c>
      <c r="H389" s="17">
        <f t="shared" si="36"/>
        <v>985.9999999999999</v>
      </c>
      <c r="I389" s="7"/>
    </row>
    <row r="390" spans="1:9" s="8" customFormat="1" ht="15" hidden="1">
      <c r="A390" s="6" t="s">
        <v>446</v>
      </c>
      <c r="B390" s="9" t="s">
        <v>10</v>
      </c>
      <c r="C390" s="9" t="s">
        <v>909</v>
      </c>
      <c r="D390" s="9"/>
      <c r="E390" s="15">
        <f t="shared" si="33"/>
        <v>0</v>
      </c>
      <c r="F390" s="15">
        <f t="shared" si="34"/>
        <v>0</v>
      </c>
      <c r="G390" s="16">
        <f t="shared" si="35"/>
        <v>0</v>
      </c>
      <c r="H390" s="17">
        <f t="shared" si="36"/>
        <v>0</v>
      </c>
      <c r="I390" s="7"/>
    </row>
    <row r="391" spans="1:9" s="8" customFormat="1" ht="15">
      <c r="A391" s="6" t="s">
        <v>447</v>
      </c>
      <c r="B391" s="9" t="s">
        <v>10</v>
      </c>
      <c r="C391" s="9" t="s">
        <v>910</v>
      </c>
      <c r="D391" s="9">
        <v>39.44</v>
      </c>
      <c r="E391" s="15">
        <f t="shared" si="33"/>
        <v>32.595041322314046</v>
      </c>
      <c r="F391" s="15">
        <f t="shared" si="34"/>
        <v>56.342857142857135</v>
      </c>
      <c r="G391" s="16">
        <f t="shared" si="35"/>
        <v>1410</v>
      </c>
      <c r="H391" s="17">
        <f t="shared" si="36"/>
        <v>985.9999999999999</v>
      </c>
      <c r="I391" s="7"/>
    </row>
    <row r="392" spans="1:9" s="8" customFormat="1" ht="15">
      <c r="A392" s="6" t="s">
        <v>426</v>
      </c>
      <c r="B392" s="9" t="s">
        <v>10</v>
      </c>
      <c r="C392" s="9" t="s">
        <v>788</v>
      </c>
      <c r="D392" s="9">
        <v>294.23</v>
      </c>
      <c r="E392" s="15">
        <f aca="true" t="shared" si="37" ref="E392:E432">D392/1.21</f>
        <v>243.16528925619838</v>
      </c>
      <c r="F392" s="15">
        <f t="shared" si="34"/>
        <v>420.32857142857154</v>
      </c>
      <c r="G392" s="16">
        <f t="shared" si="35"/>
        <v>10510</v>
      </c>
      <c r="H392" s="17">
        <f t="shared" si="36"/>
        <v>7355.750000000001</v>
      </c>
      <c r="I392" s="7"/>
    </row>
    <row r="393" spans="1:9" s="8" customFormat="1" ht="15">
      <c r="A393" s="6" t="s">
        <v>448</v>
      </c>
      <c r="B393" s="9" t="s">
        <v>27</v>
      </c>
      <c r="C393" s="9" t="s">
        <v>619</v>
      </c>
      <c r="D393" s="9">
        <v>34.06</v>
      </c>
      <c r="E393" s="15">
        <f t="shared" si="37"/>
        <v>28.148760330578515</v>
      </c>
      <c r="F393" s="15">
        <f t="shared" si="34"/>
        <v>48.657142857142865</v>
      </c>
      <c r="G393" s="16">
        <f t="shared" si="35"/>
        <v>1220</v>
      </c>
      <c r="H393" s="17">
        <f t="shared" si="36"/>
        <v>851.5</v>
      </c>
      <c r="I393" s="7"/>
    </row>
    <row r="394" spans="1:9" s="8" customFormat="1" ht="15">
      <c r="A394" s="6" t="s">
        <v>449</v>
      </c>
      <c r="B394" s="9" t="s">
        <v>27</v>
      </c>
      <c r="C394" s="9" t="s">
        <v>620</v>
      </c>
      <c r="D394" s="9">
        <v>16.29</v>
      </c>
      <c r="E394" s="15">
        <f t="shared" si="37"/>
        <v>13.462809917355372</v>
      </c>
      <c r="F394" s="15">
        <f t="shared" si="34"/>
        <v>23.271428571428576</v>
      </c>
      <c r="G394" s="16">
        <f t="shared" si="35"/>
        <v>580</v>
      </c>
      <c r="H394" s="17">
        <f t="shared" si="36"/>
        <v>407.2500000000001</v>
      </c>
      <c r="I394" s="7"/>
    </row>
    <row r="395" spans="1:9" s="8" customFormat="1" ht="15">
      <c r="A395" s="6" t="s">
        <v>859</v>
      </c>
      <c r="B395" s="9" t="s">
        <v>28</v>
      </c>
      <c r="C395" s="9" t="s">
        <v>860</v>
      </c>
      <c r="D395" s="9">
        <v>1576.87</v>
      </c>
      <c r="E395" s="15">
        <f t="shared" si="37"/>
        <v>1303.198347107438</v>
      </c>
      <c r="F395" s="15">
        <f>(E395/0.7)*1.21</f>
        <v>2252.6714285714284</v>
      </c>
      <c r="G395" s="16">
        <f>ROUND((F395/1.21)*1.21*$I$1,-1)</f>
        <v>56320</v>
      </c>
      <c r="H395" s="17">
        <f>(F395/1.21)*1.21*$I$1*0.7</f>
        <v>39421.74999999999</v>
      </c>
      <c r="I395" s="10"/>
    </row>
    <row r="396" spans="1:9" s="8" customFormat="1" ht="15">
      <c r="A396" s="7" t="s">
        <v>657</v>
      </c>
      <c r="B396" s="7" t="s">
        <v>27</v>
      </c>
      <c r="C396" s="7" t="s">
        <v>658</v>
      </c>
      <c r="D396" s="7">
        <v>9.82</v>
      </c>
      <c r="E396" s="15">
        <f t="shared" si="37"/>
        <v>8.115702479338843</v>
      </c>
      <c r="F396" s="15">
        <f aca="true" t="shared" si="38" ref="F396:F461">(E396/0.7)*1.21</f>
        <v>14.028571428571428</v>
      </c>
      <c r="G396" s="16">
        <f aca="true" t="shared" si="39" ref="G396:G461">ROUND((F396/1.21)*1.21*$I$1,-1)</f>
        <v>350</v>
      </c>
      <c r="H396" s="17">
        <f aca="true" t="shared" si="40" ref="H396:H461">(F396/1.21)*1.21*$I$1*0.7</f>
        <v>245.5</v>
      </c>
      <c r="I396" s="7"/>
    </row>
    <row r="397" spans="1:9" s="8" customFormat="1" ht="15">
      <c r="A397" s="6" t="s">
        <v>450</v>
      </c>
      <c r="B397" s="9" t="s">
        <v>13</v>
      </c>
      <c r="C397" s="9" t="s">
        <v>792</v>
      </c>
      <c r="D397" s="9">
        <v>10.86</v>
      </c>
      <c r="E397" s="15">
        <f t="shared" si="37"/>
        <v>8.975206611570247</v>
      </c>
      <c r="F397" s="15">
        <f t="shared" si="38"/>
        <v>15.514285714285712</v>
      </c>
      <c r="G397" s="16">
        <f t="shared" si="39"/>
        <v>390</v>
      </c>
      <c r="H397" s="17">
        <f t="shared" si="40"/>
        <v>271.49999999999994</v>
      </c>
      <c r="I397" s="7"/>
    </row>
    <row r="398" spans="1:9" s="8" customFormat="1" ht="15">
      <c r="A398" s="6" t="s">
        <v>451</v>
      </c>
      <c r="B398" s="9" t="s">
        <v>13</v>
      </c>
      <c r="C398" s="9" t="s">
        <v>793</v>
      </c>
      <c r="D398" s="9">
        <v>10.86</v>
      </c>
      <c r="E398" s="15">
        <f t="shared" si="37"/>
        <v>8.975206611570247</v>
      </c>
      <c r="F398" s="15">
        <f t="shared" si="38"/>
        <v>15.514285714285712</v>
      </c>
      <c r="G398" s="16">
        <f t="shared" si="39"/>
        <v>390</v>
      </c>
      <c r="H398" s="17">
        <f t="shared" si="40"/>
        <v>271.49999999999994</v>
      </c>
      <c r="I398" s="7"/>
    </row>
    <row r="399" spans="1:9" s="8" customFormat="1" ht="15">
      <c r="A399" s="6" t="s">
        <v>452</v>
      </c>
      <c r="B399" s="9" t="s">
        <v>13</v>
      </c>
      <c r="C399" s="9" t="s">
        <v>661</v>
      </c>
      <c r="D399" s="9">
        <v>10.86</v>
      </c>
      <c r="E399" s="15">
        <f t="shared" si="37"/>
        <v>8.975206611570247</v>
      </c>
      <c r="F399" s="15">
        <f t="shared" si="38"/>
        <v>15.514285714285712</v>
      </c>
      <c r="G399" s="16">
        <f t="shared" si="39"/>
        <v>390</v>
      </c>
      <c r="H399" s="17">
        <f t="shared" si="40"/>
        <v>271.49999999999994</v>
      </c>
      <c r="I399" s="7"/>
    </row>
    <row r="400" spans="1:9" s="8" customFormat="1" ht="15">
      <c r="A400" s="6" t="s">
        <v>453</v>
      </c>
      <c r="B400" s="9" t="s">
        <v>13</v>
      </c>
      <c r="C400" s="9" t="s">
        <v>830</v>
      </c>
      <c r="D400" s="9">
        <v>10.86</v>
      </c>
      <c r="E400" s="15">
        <f t="shared" si="37"/>
        <v>8.975206611570247</v>
      </c>
      <c r="F400" s="15">
        <f t="shared" si="38"/>
        <v>15.514285714285712</v>
      </c>
      <c r="G400" s="16">
        <f t="shared" si="39"/>
        <v>390</v>
      </c>
      <c r="H400" s="17">
        <f t="shared" si="40"/>
        <v>271.49999999999994</v>
      </c>
      <c r="I400" s="7"/>
    </row>
    <row r="401" spans="1:9" s="8" customFormat="1" ht="15">
      <c r="A401" s="6" t="s">
        <v>454</v>
      </c>
      <c r="B401" s="9" t="s">
        <v>13</v>
      </c>
      <c r="C401" s="9" t="s">
        <v>662</v>
      </c>
      <c r="D401" s="9">
        <v>10.86</v>
      </c>
      <c r="E401" s="15">
        <f t="shared" si="37"/>
        <v>8.975206611570247</v>
      </c>
      <c r="F401" s="15">
        <f t="shared" si="38"/>
        <v>15.514285714285712</v>
      </c>
      <c r="G401" s="16">
        <f t="shared" si="39"/>
        <v>390</v>
      </c>
      <c r="H401" s="17">
        <f t="shared" si="40"/>
        <v>271.49999999999994</v>
      </c>
      <c r="I401" s="7"/>
    </row>
    <row r="402" spans="1:9" s="8" customFormat="1" ht="15">
      <c r="A402" s="6" t="s">
        <v>455</v>
      </c>
      <c r="B402" s="9" t="s">
        <v>13</v>
      </c>
      <c r="C402" s="9" t="s">
        <v>663</v>
      </c>
      <c r="D402" s="9">
        <v>10.86</v>
      </c>
      <c r="E402" s="15">
        <f t="shared" si="37"/>
        <v>8.975206611570247</v>
      </c>
      <c r="F402" s="15">
        <f t="shared" si="38"/>
        <v>15.514285714285712</v>
      </c>
      <c r="G402" s="16">
        <f t="shared" si="39"/>
        <v>390</v>
      </c>
      <c r="H402" s="17">
        <f t="shared" si="40"/>
        <v>271.49999999999994</v>
      </c>
      <c r="I402" s="7"/>
    </row>
    <row r="403" spans="1:9" s="8" customFormat="1" ht="15">
      <c r="A403" s="6" t="s">
        <v>456</v>
      </c>
      <c r="B403" s="9" t="s">
        <v>13</v>
      </c>
      <c r="C403" s="9" t="s">
        <v>664</v>
      </c>
      <c r="D403" s="9">
        <v>10.86</v>
      </c>
      <c r="E403" s="15">
        <f t="shared" si="37"/>
        <v>8.975206611570247</v>
      </c>
      <c r="F403" s="15">
        <f t="shared" si="38"/>
        <v>15.514285714285712</v>
      </c>
      <c r="G403" s="16">
        <f t="shared" si="39"/>
        <v>390</v>
      </c>
      <c r="H403" s="17">
        <f t="shared" si="40"/>
        <v>271.49999999999994</v>
      </c>
      <c r="I403" s="7"/>
    </row>
    <row r="404" spans="1:9" s="8" customFormat="1" ht="15">
      <c r="A404" s="6" t="s">
        <v>457</v>
      </c>
      <c r="B404" s="9" t="s">
        <v>13</v>
      </c>
      <c r="C404" s="9" t="s">
        <v>665</v>
      </c>
      <c r="D404" s="9">
        <v>10.86</v>
      </c>
      <c r="E404" s="15">
        <f t="shared" si="37"/>
        <v>8.975206611570247</v>
      </c>
      <c r="F404" s="15">
        <f t="shared" si="38"/>
        <v>15.514285714285712</v>
      </c>
      <c r="G404" s="16">
        <f t="shared" si="39"/>
        <v>390</v>
      </c>
      <c r="H404" s="17">
        <f t="shared" si="40"/>
        <v>271.49999999999994</v>
      </c>
      <c r="I404" s="7"/>
    </row>
    <row r="405" spans="1:9" s="8" customFormat="1" ht="15">
      <c r="A405" s="6" t="s">
        <v>458</v>
      </c>
      <c r="B405" s="9" t="s">
        <v>13</v>
      </c>
      <c r="C405" s="9" t="s">
        <v>831</v>
      </c>
      <c r="D405" s="9">
        <v>10.86</v>
      </c>
      <c r="E405" s="15">
        <f t="shared" si="37"/>
        <v>8.975206611570247</v>
      </c>
      <c r="F405" s="15">
        <f t="shared" si="38"/>
        <v>15.514285714285712</v>
      </c>
      <c r="G405" s="16">
        <f t="shared" si="39"/>
        <v>390</v>
      </c>
      <c r="H405" s="17">
        <f t="shared" si="40"/>
        <v>271.49999999999994</v>
      </c>
      <c r="I405" s="7"/>
    </row>
    <row r="406" spans="1:9" s="8" customFormat="1" ht="15">
      <c r="A406" s="6" t="s">
        <v>459</v>
      </c>
      <c r="B406" s="9" t="s">
        <v>13</v>
      </c>
      <c r="C406" s="9" t="s">
        <v>666</v>
      </c>
      <c r="D406" s="9">
        <v>10.86</v>
      </c>
      <c r="E406" s="15">
        <f t="shared" si="37"/>
        <v>8.975206611570247</v>
      </c>
      <c r="F406" s="15">
        <f t="shared" si="38"/>
        <v>15.514285714285712</v>
      </c>
      <c r="G406" s="16">
        <f t="shared" si="39"/>
        <v>390</v>
      </c>
      <c r="H406" s="17">
        <f t="shared" si="40"/>
        <v>271.49999999999994</v>
      </c>
      <c r="I406" s="7"/>
    </row>
    <row r="407" spans="1:9" s="8" customFormat="1" ht="15">
      <c r="A407" s="6" t="s">
        <v>460</v>
      </c>
      <c r="B407" s="9" t="s">
        <v>13</v>
      </c>
      <c r="C407" s="9" t="s">
        <v>832</v>
      </c>
      <c r="D407" s="9">
        <v>10.86</v>
      </c>
      <c r="E407" s="15">
        <f t="shared" si="37"/>
        <v>8.975206611570247</v>
      </c>
      <c r="F407" s="15">
        <f t="shared" si="38"/>
        <v>15.514285714285712</v>
      </c>
      <c r="G407" s="16">
        <f t="shared" si="39"/>
        <v>390</v>
      </c>
      <c r="H407" s="17">
        <f t="shared" si="40"/>
        <v>271.49999999999994</v>
      </c>
      <c r="I407" s="7"/>
    </row>
    <row r="408" spans="1:9" s="8" customFormat="1" ht="15">
      <c r="A408" s="6" t="s">
        <v>461</v>
      </c>
      <c r="B408" s="9" t="s">
        <v>14</v>
      </c>
      <c r="C408" s="9" t="s">
        <v>667</v>
      </c>
      <c r="D408" s="9">
        <v>12.84</v>
      </c>
      <c r="E408" s="15">
        <f t="shared" si="37"/>
        <v>10.611570247933885</v>
      </c>
      <c r="F408" s="15">
        <f t="shared" si="38"/>
        <v>18.342857142857145</v>
      </c>
      <c r="G408" s="16">
        <f t="shared" si="39"/>
        <v>460</v>
      </c>
      <c r="H408" s="17">
        <f t="shared" si="40"/>
        <v>321</v>
      </c>
      <c r="I408" s="7"/>
    </row>
    <row r="409" spans="1:9" s="8" customFormat="1" ht="15">
      <c r="A409" s="6" t="s">
        <v>462</v>
      </c>
      <c r="B409" s="9" t="s">
        <v>14</v>
      </c>
      <c r="C409" s="9" t="s">
        <v>668</v>
      </c>
      <c r="D409" s="9">
        <v>12.84</v>
      </c>
      <c r="E409" s="15">
        <f t="shared" si="37"/>
        <v>10.611570247933885</v>
      </c>
      <c r="F409" s="15">
        <f t="shared" si="38"/>
        <v>18.342857142857145</v>
      </c>
      <c r="G409" s="16">
        <f t="shared" si="39"/>
        <v>460</v>
      </c>
      <c r="H409" s="17">
        <f t="shared" si="40"/>
        <v>321</v>
      </c>
      <c r="I409" s="7"/>
    </row>
    <row r="410" spans="1:9" s="8" customFormat="1" ht="15">
      <c r="A410" s="6" t="s">
        <v>463</v>
      </c>
      <c r="B410" s="9" t="s">
        <v>14</v>
      </c>
      <c r="C410" s="9" t="s">
        <v>669</v>
      </c>
      <c r="D410" s="9">
        <v>12.84</v>
      </c>
      <c r="E410" s="15">
        <f t="shared" si="37"/>
        <v>10.611570247933885</v>
      </c>
      <c r="F410" s="15">
        <f t="shared" si="38"/>
        <v>18.342857142857145</v>
      </c>
      <c r="G410" s="16">
        <f t="shared" si="39"/>
        <v>460</v>
      </c>
      <c r="H410" s="17">
        <f t="shared" si="40"/>
        <v>321</v>
      </c>
      <c r="I410" s="7"/>
    </row>
    <row r="411" spans="1:9" s="8" customFormat="1" ht="15">
      <c r="A411" s="6" t="s">
        <v>464</v>
      </c>
      <c r="B411" s="9" t="s">
        <v>14</v>
      </c>
      <c r="C411" s="9" t="s">
        <v>833</v>
      </c>
      <c r="D411" s="9">
        <v>12.84</v>
      </c>
      <c r="E411" s="15">
        <f t="shared" si="37"/>
        <v>10.611570247933885</v>
      </c>
      <c r="F411" s="15">
        <f t="shared" si="38"/>
        <v>18.342857142857145</v>
      </c>
      <c r="G411" s="16">
        <f t="shared" si="39"/>
        <v>460</v>
      </c>
      <c r="H411" s="17">
        <f t="shared" si="40"/>
        <v>321</v>
      </c>
      <c r="I411" s="7"/>
    </row>
    <row r="412" spans="1:9" s="8" customFormat="1" ht="15">
      <c r="A412" s="6" t="s">
        <v>465</v>
      </c>
      <c r="B412" s="9" t="s">
        <v>14</v>
      </c>
      <c r="C412" s="9" t="s">
        <v>670</v>
      </c>
      <c r="D412" s="9">
        <v>12.84</v>
      </c>
      <c r="E412" s="15">
        <f t="shared" si="37"/>
        <v>10.611570247933885</v>
      </c>
      <c r="F412" s="15">
        <f t="shared" si="38"/>
        <v>18.342857142857145</v>
      </c>
      <c r="G412" s="16">
        <f t="shared" si="39"/>
        <v>460</v>
      </c>
      <c r="H412" s="17">
        <f t="shared" si="40"/>
        <v>321</v>
      </c>
      <c r="I412" s="7"/>
    </row>
    <row r="413" spans="1:9" s="8" customFormat="1" ht="15">
      <c r="A413" s="6" t="s">
        <v>466</v>
      </c>
      <c r="B413" s="9" t="s">
        <v>941</v>
      </c>
      <c r="C413" s="9" t="s">
        <v>671</v>
      </c>
      <c r="D413" s="9">
        <v>14.76</v>
      </c>
      <c r="E413" s="15">
        <f t="shared" si="37"/>
        <v>12.198347107438016</v>
      </c>
      <c r="F413" s="15">
        <f t="shared" si="38"/>
        <v>21.085714285714285</v>
      </c>
      <c r="G413" s="16">
        <f t="shared" si="39"/>
        <v>530</v>
      </c>
      <c r="H413" s="17">
        <f t="shared" si="40"/>
        <v>368.99999999999994</v>
      </c>
      <c r="I413" s="7"/>
    </row>
    <row r="414" spans="1:9" s="8" customFormat="1" ht="15">
      <c r="A414" s="6" t="s">
        <v>467</v>
      </c>
      <c r="B414" s="9" t="s">
        <v>941</v>
      </c>
      <c r="C414" s="9" t="s">
        <v>672</v>
      </c>
      <c r="D414" s="9">
        <v>41.47</v>
      </c>
      <c r="E414" s="15">
        <f t="shared" si="37"/>
        <v>34.27272727272727</v>
      </c>
      <c r="F414" s="15">
        <f t="shared" si="38"/>
        <v>59.24285714285715</v>
      </c>
      <c r="G414" s="16">
        <f t="shared" si="39"/>
        <v>1480</v>
      </c>
      <c r="H414" s="17">
        <f t="shared" si="40"/>
        <v>1036.75</v>
      </c>
      <c r="I414" s="7"/>
    </row>
    <row r="415" spans="1:9" s="8" customFormat="1" ht="15">
      <c r="A415" s="6" t="s">
        <v>468</v>
      </c>
      <c r="B415" s="9" t="s">
        <v>14</v>
      </c>
      <c r="C415" s="9" t="s">
        <v>673</v>
      </c>
      <c r="D415" s="9">
        <v>12.84</v>
      </c>
      <c r="E415" s="15">
        <f t="shared" si="37"/>
        <v>10.611570247933885</v>
      </c>
      <c r="F415" s="15">
        <f t="shared" si="38"/>
        <v>18.342857142857145</v>
      </c>
      <c r="G415" s="16">
        <f t="shared" si="39"/>
        <v>460</v>
      </c>
      <c r="H415" s="17">
        <f t="shared" si="40"/>
        <v>321</v>
      </c>
      <c r="I415" s="7"/>
    </row>
    <row r="416" spans="1:9" s="8" customFormat="1" ht="15">
      <c r="A416" s="6" t="s">
        <v>469</v>
      </c>
      <c r="B416" s="9" t="s">
        <v>14</v>
      </c>
      <c r="C416" s="9" t="s">
        <v>674</v>
      </c>
      <c r="D416" s="9">
        <v>12.84</v>
      </c>
      <c r="E416" s="15">
        <f t="shared" si="37"/>
        <v>10.611570247933885</v>
      </c>
      <c r="F416" s="15">
        <f t="shared" si="38"/>
        <v>18.342857142857145</v>
      </c>
      <c r="G416" s="16">
        <f t="shared" si="39"/>
        <v>460</v>
      </c>
      <c r="H416" s="17">
        <f t="shared" si="40"/>
        <v>321</v>
      </c>
      <c r="I416" s="7"/>
    </row>
    <row r="417" spans="1:9" s="8" customFormat="1" ht="15">
      <c r="A417" s="6" t="s">
        <v>470</v>
      </c>
      <c r="B417" s="9" t="s">
        <v>14</v>
      </c>
      <c r="C417" s="9" t="s">
        <v>675</v>
      </c>
      <c r="D417" s="9">
        <v>12.84</v>
      </c>
      <c r="E417" s="15">
        <f t="shared" si="37"/>
        <v>10.611570247933885</v>
      </c>
      <c r="F417" s="15">
        <f t="shared" si="38"/>
        <v>18.342857142857145</v>
      </c>
      <c r="G417" s="16">
        <f t="shared" si="39"/>
        <v>460</v>
      </c>
      <c r="H417" s="17">
        <f t="shared" si="40"/>
        <v>321</v>
      </c>
      <c r="I417" s="7"/>
    </row>
    <row r="418" spans="1:9" s="8" customFormat="1" ht="15">
      <c r="A418" s="6" t="s">
        <v>471</v>
      </c>
      <c r="B418" s="9" t="s">
        <v>14</v>
      </c>
      <c r="C418" s="9" t="s">
        <v>834</v>
      </c>
      <c r="D418" s="9">
        <v>12.84</v>
      </c>
      <c r="E418" s="15">
        <f t="shared" si="37"/>
        <v>10.611570247933885</v>
      </c>
      <c r="F418" s="15">
        <f t="shared" si="38"/>
        <v>18.342857142857145</v>
      </c>
      <c r="G418" s="16">
        <f t="shared" si="39"/>
        <v>460</v>
      </c>
      <c r="H418" s="17">
        <f t="shared" si="40"/>
        <v>321</v>
      </c>
      <c r="I418" s="7"/>
    </row>
    <row r="419" spans="1:9" s="8" customFormat="1" ht="15">
      <c r="A419" s="6" t="s">
        <v>472</v>
      </c>
      <c r="B419" s="9" t="s">
        <v>14</v>
      </c>
      <c r="C419" s="9" t="s">
        <v>676</v>
      </c>
      <c r="D419" s="9">
        <v>12.84</v>
      </c>
      <c r="E419" s="15">
        <f t="shared" si="37"/>
        <v>10.611570247933885</v>
      </c>
      <c r="F419" s="15">
        <f t="shared" si="38"/>
        <v>18.342857142857145</v>
      </c>
      <c r="G419" s="16">
        <f t="shared" si="39"/>
        <v>460</v>
      </c>
      <c r="H419" s="17">
        <f t="shared" si="40"/>
        <v>321</v>
      </c>
      <c r="I419" s="7"/>
    </row>
    <row r="420" spans="1:9" s="8" customFormat="1" ht="15">
      <c r="A420" s="6" t="s">
        <v>473</v>
      </c>
      <c r="B420" s="9" t="s">
        <v>14</v>
      </c>
      <c r="C420" s="9" t="s">
        <v>677</v>
      </c>
      <c r="D420" s="9">
        <v>12.84</v>
      </c>
      <c r="E420" s="15">
        <f t="shared" si="37"/>
        <v>10.611570247933885</v>
      </c>
      <c r="F420" s="15">
        <f t="shared" si="38"/>
        <v>18.342857142857145</v>
      </c>
      <c r="G420" s="16">
        <f t="shared" si="39"/>
        <v>460</v>
      </c>
      <c r="H420" s="17">
        <f t="shared" si="40"/>
        <v>321</v>
      </c>
      <c r="I420" s="7"/>
    </row>
    <row r="421" spans="1:9" s="8" customFormat="1" ht="15">
      <c r="A421" s="6" t="s">
        <v>474</v>
      </c>
      <c r="B421" s="9" t="s">
        <v>15</v>
      </c>
      <c r="C421" s="9" t="s">
        <v>678</v>
      </c>
      <c r="D421" s="9">
        <v>13.76</v>
      </c>
      <c r="E421" s="15">
        <f t="shared" si="37"/>
        <v>11.37190082644628</v>
      </c>
      <c r="F421" s="15">
        <f t="shared" si="38"/>
        <v>19.65714285714286</v>
      </c>
      <c r="G421" s="16">
        <f t="shared" si="39"/>
        <v>490</v>
      </c>
      <c r="H421" s="17">
        <f t="shared" si="40"/>
        <v>344</v>
      </c>
      <c r="I421" s="7"/>
    </row>
    <row r="422" spans="1:9" s="8" customFormat="1" ht="13.5" customHeight="1">
      <c r="A422" s="3"/>
      <c r="B422" s="4"/>
      <c r="C422" s="5"/>
      <c r="D422" s="27" t="s">
        <v>1029</v>
      </c>
      <c r="E422" s="27" t="s">
        <v>71</v>
      </c>
      <c r="F422" s="27" t="s">
        <v>1026</v>
      </c>
      <c r="G422" s="27" t="s">
        <v>1027</v>
      </c>
      <c r="H422" s="27" t="s">
        <v>1028</v>
      </c>
      <c r="I422" s="4"/>
    </row>
    <row r="423" spans="1:9" s="8" customFormat="1" ht="31.5" customHeight="1" thickBot="1">
      <c r="A423" s="20" t="s">
        <v>117</v>
      </c>
      <c r="B423" s="20" t="s">
        <v>118</v>
      </c>
      <c r="C423" s="20" t="s">
        <v>119</v>
      </c>
      <c r="D423" s="28"/>
      <c r="E423" s="28"/>
      <c r="F423" s="28"/>
      <c r="G423" s="28"/>
      <c r="H423" s="28"/>
      <c r="I423" s="20" t="s">
        <v>765</v>
      </c>
    </row>
    <row r="424" spans="1:9" s="8" customFormat="1" ht="15.75" thickTop="1">
      <c r="A424" s="6" t="s">
        <v>475</v>
      </c>
      <c r="B424" s="9" t="s">
        <v>15</v>
      </c>
      <c r="C424" s="9" t="s">
        <v>679</v>
      </c>
      <c r="D424" s="9">
        <v>13.76</v>
      </c>
      <c r="E424" s="15">
        <f t="shared" si="37"/>
        <v>11.37190082644628</v>
      </c>
      <c r="F424" s="15">
        <f t="shared" si="38"/>
        <v>19.65714285714286</v>
      </c>
      <c r="G424" s="16">
        <f t="shared" si="39"/>
        <v>490</v>
      </c>
      <c r="H424" s="17">
        <f t="shared" si="40"/>
        <v>344</v>
      </c>
      <c r="I424" s="7"/>
    </row>
    <row r="425" spans="1:9" s="8" customFormat="1" ht="15">
      <c r="A425" s="6" t="s">
        <v>476</v>
      </c>
      <c r="B425" s="9" t="s">
        <v>15</v>
      </c>
      <c r="C425" s="9" t="s">
        <v>680</v>
      </c>
      <c r="D425" s="9">
        <v>13.76</v>
      </c>
      <c r="E425" s="15">
        <f t="shared" si="37"/>
        <v>11.37190082644628</v>
      </c>
      <c r="F425" s="15">
        <f t="shared" si="38"/>
        <v>19.65714285714286</v>
      </c>
      <c r="G425" s="16">
        <f t="shared" si="39"/>
        <v>490</v>
      </c>
      <c r="H425" s="17">
        <f t="shared" si="40"/>
        <v>344</v>
      </c>
      <c r="I425" s="7"/>
    </row>
    <row r="426" spans="1:9" s="8" customFormat="1" ht="15">
      <c r="A426" s="6" t="s">
        <v>477</v>
      </c>
      <c r="B426" s="9" t="s">
        <v>15</v>
      </c>
      <c r="C426" s="9" t="s">
        <v>835</v>
      </c>
      <c r="D426" s="9">
        <v>13.76</v>
      </c>
      <c r="E426" s="15">
        <f t="shared" si="37"/>
        <v>11.37190082644628</v>
      </c>
      <c r="F426" s="15">
        <f t="shared" si="38"/>
        <v>19.65714285714286</v>
      </c>
      <c r="G426" s="16">
        <f t="shared" si="39"/>
        <v>490</v>
      </c>
      <c r="H426" s="17">
        <f t="shared" si="40"/>
        <v>344</v>
      </c>
      <c r="I426" s="7"/>
    </row>
    <row r="427" spans="1:9" s="8" customFormat="1" ht="15">
      <c r="A427" s="6" t="s">
        <v>478</v>
      </c>
      <c r="B427" s="9" t="s">
        <v>15</v>
      </c>
      <c r="C427" s="9" t="s">
        <v>681</v>
      </c>
      <c r="D427" s="9">
        <v>13.76</v>
      </c>
      <c r="E427" s="15">
        <f t="shared" si="37"/>
        <v>11.37190082644628</v>
      </c>
      <c r="F427" s="15">
        <f t="shared" si="38"/>
        <v>19.65714285714286</v>
      </c>
      <c r="G427" s="16">
        <f t="shared" si="39"/>
        <v>490</v>
      </c>
      <c r="H427" s="17">
        <f t="shared" si="40"/>
        <v>344</v>
      </c>
      <c r="I427" s="7"/>
    </row>
    <row r="428" spans="1:9" s="8" customFormat="1" ht="15">
      <c r="A428" s="6" t="s">
        <v>479</v>
      </c>
      <c r="B428" s="9" t="s">
        <v>15</v>
      </c>
      <c r="C428" s="9" t="s">
        <v>682</v>
      </c>
      <c r="D428" s="9">
        <v>13.76</v>
      </c>
      <c r="E428" s="15">
        <f t="shared" si="37"/>
        <v>11.37190082644628</v>
      </c>
      <c r="F428" s="15">
        <f t="shared" si="38"/>
        <v>19.65714285714286</v>
      </c>
      <c r="G428" s="16">
        <f t="shared" si="39"/>
        <v>490</v>
      </c>
      <c r="H428" s="17">
        <f t="shared" si="40"/>
        <v>344</v>
      </c>
      <c r="I428" s="7"/>
    </row>
    <row r="429" spans="1:9" s="8" customFormat="1" ht="15">
      <c r="A429" s="6" t="s">
        <v>480</v>
      </c>
      <c r="B429" s="9" t="s">
        <v>15</v>
      </c>
      <c r="C429" s="9" t="s">
        <v>683</v>
      </c>
      <c r="D429" s="9">
        <v>13.76</v>
      </c>
      <c r="E429" s="15">
        <f t="shared" si="37"/>
        <v>11.37190082644628</v>
      </c>
      <c r="F429" s="15">
        <f t="shared" si="38"/>
        <v>19.65714285714286</v>
      </c>
      <c r="G429" s="16">
        <f t="shared" si="39"/>
        <v>490</v>
      </c>
      <c r="H429" s="17">
        <f t="shared" si="40"/>
        <v>344</v>
      </c>
      <c r="I429" s="7"/>
    </row>
    <row r="430" spans="1:9" s="8" customFormat="1" ht="15">
      <c r="A430" s="6" t="s">
        <v>481</v>
      </c>
      <c r="B430" s="9" t="s">
        <v>15</v>
      </c>
      <c r="C430" s="9" t="s">
        <v>684</v>
      </c>
      <c r="D430" s="9">
        <v>13.76</v>
      </c>
      <c r="E430" s="15">
        <f t="shared" si="37"/>
        <v>11.37190082644628</v>
      </c>
      <c r="F430" s="15">
        <f t="shared" si="38"/>
        <v>19.65714285714286</v>
      </c>
      <c r="G430" s="16">
        <f t="shared" si="39"/>
        <v>490</v>
      </c>
      <c r="H430" s="17">
        <f t="shared" si="40"/>
        <v>344</v>
      </c>
      <c r="I430" s="7"/>
    </row>
    <row r="431" spans="1:9" s="8" customFormat="1" ht="15" hidden="1">
      <c r="A431" s="6" t="s">
        <v>482</v>
      </c>
      <c r="B431" s="9" t="s">
        <v>15</v>
      </c>
      <c r="C431" s="9" t="s">
        <v>685</v>
      </c>
      <c r="D431" s="9">
        <v>13.76</v>
      </c>
      <c r="E431" s="15">
        <f t="shared" si="37"/>
        <v>11.37190082644628</v>
      </c>
      <c r="F431" s="15">
        <f t="shared" si="38"/>
        <v>19.65714285714286</v>
      </c>
      <c r="G431" s="16">
        <f t="shared" si="39"/>
        <v>490</v>
      </c>
      <c r="H431" s="17">
        <f t="shared" si="40"/>
        <v>344</v>
      </c>
      <c r="I431" s="7"/>
    </row>
    <row r="432" spans="1:9" s="8" customFormat="1" ht="15" hidden="1">
      <c r="A432" s="6" t="s">
        <v>483</v>
      </c>
      <c r="B432" s="9" t="s">
        <v>15</v>
      </c>
      <c r="C432" s="9" t="s">
        <v>686</v>
      </c>
      <c r="D432" s="9">
        <v>13.76</v>
      </c>
      <c r="E432" s="15">
        <f t="shared" si="37"/>
        <v>11.37190082644628</v>
      </c>
      <c r="F432" s="15">
        <f t="shared" si="38"/>
        <v>19.65714285714286</v>
      </c>
      <c r="G432" s="16">
        <f t="shared" si="39"/>
        <v>490</v>
      </c>
      <c r="H432" s="17">
        <f t="shared" si="40"/>
        <v>344</v>
      </c>
      <c r="I432" s="7"/>
    </row>
    <row r="433" spans="1:9" s="8" customFormat="1" ht="15">
      <c r="A433" s="6" t="s">
        <v>484</v>
      </c>
      <c r="B433" s="9" t="s">
        <v>941</v>
      </c>
      <c r="C433" s="9" t="s">
        <v>827</v>
      </c>
      <c r="D433" s="9"/>
      <c r="E433" s="15">
        <v>21.42</v>
      </c>
      <c r="F433" s="15">
        <f t="shared" si="38"/>
        <v>37.026</v>
      </c>
      <c r="G433" s="16">
        <f t="shared" si="39"/>
        <v>930</v>
      </c>
      <c r="H433" s="17">
        <f t="shared" si="40"/>
        <v>647.955</v>
      </c>
      <c r="I433" s="7"/>
    </row>
    <row r="434" spans="1:9" s="8" customFormat="1" ht="15">
      <c r="A434" s="6" t="s">
        <v>485</v>
      </c>
      <c r="B434" s="9" t="s">
        <v>941</v>
      </c>
      <c r="C434" s="9" t="s">
        <v>828</v>
      </c>
      <c r="D434" s="9"/>
      <c r="E434" s="15">
        <v>60.93</v>
      </c>
      <c r="F434" s="15">
        <f t="shared" si="38"/>
        <v>105.32185714285714</v>
      </c>
      <c r="G434" s="16">
        <f t="shared" si="39"/>
        <v>2630</v>
      </c>
      <c r="H434" s="17">
        <f t="shared" si="40"/>
        <v>1843.1324999999997</v>
      </c>
      <c r="I434" s="7"/>
    </row>
    <row r="435" spans="1:9" s="8" customFormat="1" ht="15">
      <c r="A435" s="6" t="s">
        <v>486</v>
      </c>
      <c r="B435" s="9" t="s">
        <v>16</v>
      </c>
      <c r="C435" s="9" t="s">
        <v>125</v>
      </c>
      <c r="D435" s="9">
        <v>16.34</v>
      </c>
      <c r="E435" s="15">
        <f aca="true" t="shared" si="41" ref="E435:E447">D435/1.21</f>
        <v>13.50413223140496</v>
      </c>
      <c r="F435" s="15">
        <f t="shared" si="38"/>
        <v>23.342857142857145</v>
      </c>
      <c r="G435" s="16">
        <f t="shared" si="39"/>
        <v>580</v>
      </c>
      <c r="H435" s="17">
        <f t="shared" si="40"/>
        <v>408.50000000000006</v>
      </c>
      <c r="I435" s="7"/>
    </row>
    <row r="436" spans="1:9" s="8" customFormat="1" ht="15">
      <c r="A436" s="6" t="s">
        <v>487</v>
      </c>
      <c r="B436" s="9" t="s">
        <v>16</v>
      </c>
      <c r="C436" s="9" t="s">
        <v>126</v>
      </c>
      <c r="D436" s="9">
        <v>16.34</v>
      </c>
      <c r="E436" s="15">
        <f t="shared" si="41"/>
        <v>13.50413223140496</v>
      </c>
      <c r="F436" s="15">
        <f t="shared" si="38"/>
        <v>23.342857142857145</v>
      </c>
      <c r="G436" s="16">
        <f t="shared" si="39"/>
        <v>580</v>
      </c>
      <c r="H436" s="17">
        <f t="shared" si="40"/>
        <v>408.50000000000006</v>
      </c>
      <c r="I436" s="7"/>
    </row>
    <row r="437" spans="1:9" s="8" customFormat="1" ht="15">
      <c r="A437" s="6" t="s">
        <v>488</v>
      </c>
      <c r="B437" s="9" t="s">
        <v>16</v>
      </c>
      <c r="C437" s="9" t="s">
        <v>127</v>
      </c>
      <c r="D437" s="9">
        <v>16.34</v>
      </c>
      <c r="E437" s="15">
        <f t="shared" si="41"/>
        <v>13.50413223140496</v>
      </c>
      <c r="F437" s="15">
        <f t="shared" si="38"/>
        <v>23.342857142857145</v>
      </c>
      <c r="G437" s="16">
        <f t="shared" si="39"/>
        <v>580</v>
      </c>
      <c r="H437" s="17">
        <f t="shared" si="40"/>
        <v>408.50000000000006</v>
      </c>
      <c r="I437" s="7"/>
    </row>
    <row r="438" spans="1:9" s="8" customFormat="1" ht="15">
      <c r="A438" s="6" t="s">
        <v>489</v>
      </c>
      <c r="B438" s="9" t="s">
        <v>16</v>
      </c>
      <c r="C438" s="9" t="s">
        <v>128</v>
      </c>
      <c r="D438" s="9">
        <v>16.34</v>
      </c>
      <c r="E438" s="15">
        <f t="shared" si="41"/>
        <v>13.50413223140496</v>
      </c>
      <c r="F438" s="15">
        <f t="shared" si="38"/>
        <v>23.342857142857145</v>
      </c>
      <c r="G438" s="16">
        <f t="shared" si="39"/>
        <v>580</v>
      </c>
      <c r="H438" s="17">
        <f t="shared" si="40"/>
        <v>408.50000000000006</v>
      </c>
      <c r="I438" s="7"/>
    </row>
    <row r="439" spans="1:9" s="8" customFormat="1" ht="15">
      <c r="A439" s="6" t="s">
        <v>490</v>
      </c>
      <c r="B439" s="9" t="s">
        <v>16</v>
      </c>
      <c r="C439" s="9" t="s">
        <v>129</v>
      </c>
      <c r="D439" s="9">
        <v>16.34</v>
      </c>
      <c r="E439" s="15">
        <f t="shared" si="41"/>
        <v>13.50413223140496</v>
      </c>
      <c r="F439" s="15">
        <f t="shared" si="38"/>
        <v>23.342857142857145</v>
      </c>
      <c r="G439" s="16">
        <f t="shared" si="39"/>
        <v>580</v>
      </c>
      <c r="H439" s="17">
        <f t="shared" si="40"/>
        <v>408.50000000000006</v>
      </c>
      <c r="I439" s="7"/>
    </row>
    <row r="440" spans="1:9" s="8" customFormat="1" ht="15">
      <c r="A440" s="6" t="s">
        <v>491</v>
      </c>
      <c r="B440" s="9" t="s">
        <v>16</v>
      </c>
      <c r="C440" s="9" t="s">
        <v>130</v>
      </c>
      <c r="D440" s="9">
        <v>16.34</v>
      </c>
      <c r="E440" s="15">
        <f t="shared" si="41"/>
        <v>13.50413223140496</v>
      </c>
      <c r="F440" s="15">
        <f t="shared" si="38"/>
        <v>23.342857142857145</v>
      </c>
      <c r="G440" s="16">
        <f t="shared" si="39"/>
        <v>580</v>
      </c>
      <c r="H440" s="17">
        <f t="shared" si="40"/>
        <v>408.50000000000006</v>
      </c>
      <c r="I440" s="7"/>
    </row>
    <row r="441" spans="1:9" s="8" customFormat="1" ht="15">
      <c r="A441" s="6" t="s">
        <v>492</v>
      </c>
      <c r="B441" s="9" t="s">
        <v>16</v>
      </c>
      <c r="C441" s="9" t="s">
        <v>131</v>
      </c>
      <c r="D441" s="9">
        <v>16.34</v>
      </c>
      <c r="E441" s="15">
        <f t="shared" si="41"/>
        <v>13.50413223140496</v>
      </c>
      <c r="F441" s="15">
        <f t="shared" si="38"/>
        <v>23.342857142857145</v>
      </c>
      <c r="G441" s="16">
        <f t="shared" si="39"/>
        <v>580</v>
      </c>
      <c r="H441" s="17">
        <f t="shared" si="40"/>
        <v>408.50000000000006</v>
      </c>
      <c r="I441" s="7"/>
    </row>
    <row r="442" spans="1:9" s="8" customFormat="1" ht="15">
      <c r="A442" s="6" t="s">
        <v>493</v>
      </c>
      <c r="B442" s="9" t="s">
        <v>16</v>
      </c>
      <c r="C442" s="9" t="s">
        <v>132</v>
      </c>
      <c r="D442" s="9">
        <v>16.34</v>
      </c>
      <c r="E442" s="15">
        <f t="shared" si="41"/>
        <v>13.50413223140496</v>
      </c>
      <c r="F442" s="15">
        <f t="shared" si="38"/>
        <v>23.342857142857145</v>
      </c>
      <c r="G442" s="16">
        <f t="shared" si="39"/>
        <v>580</v>
      </c>
      <c r="H442" s="17">
        <f t="shared" si="40"/>
        <v>408.50000000000006</v>
      </c>
      <c r="I442" s="7"/>
    </row>
    <row r="443" spans="1:9" s="8" customFormat="1" ht="15">
      <c r="A443" s="6" t="s">
        <v>494</v>
      </c>
      <c r="B443" s="9" t="s">
        <v>16</v>
      </c>
      <c r="C443" s="9" t="s">
        <v>133</v>
      </c>
      <c r="D443" s="9">
        <v>16.34</v>
      </c>
      <c r="E443" s="15">
        <f t="shared" si="41"/>
        <v>13.50413223140496</v>
      </c>
      <c r="F443" s="15">
        <f t="shared" si="38"/>
        <v>23.342857142857145</v>
      </c>
      <c r="G443" s="16">
        <f t="shared" si="39"/>
        <v>580</v>
      </c>
      <c r="H443" s="17">
        <f t="shared" si="40"/>
        <v>408.50000000000006</v>
      </c>
      <c r="I443" s="7"/>
    </row>
    <row r="444" spans="1:9" s="8" customFormat="1" ht="15">
      <c r="A444" s="6" t="s">
        <v>495</v>
      </c>
      <c r="B444" s="9" t="s">
        <v>941</v>
      </c>
      <c r="C444" s="9" t="s">
        <v>940</v>
      </c>
      <c r="D444" s="9">
        <v>24.63</v>
      </c>
      <c r="E444" s="15">
        <f t="shared" si="41"/>
        <v>20.355371900826444</v>
      </c>
      <c r="F444" s="15">
        <f t="shared" si="38"/>
        <v>35.18571428571428</v>
      </c>
      <c r="G444" s="16">
        <f t="shared" si="39"/>
        <v>880</v>
      </c>
      <c r="H444" s="17">
        <f t="shared" si="40"/>
        <v>615.7499999999999</v>
      </c>
      <c r="I444" s="7"/>
    </row>
    <row r="445" spans="1:9" s="8" customFormat="1" ht="15">
      <c r="A445" s="6" t="s">
        <v>496</v>
      </c>
      <c r="B445" s="9" t="s">
        <v>941</v>
      </c>
      <c r="C445" s="9" t="s">
        <v>937</v>
      </c>
      <c r="D445" s="9">
        <v>67.63</v>
      </c>
      <c r="E445" s="15">
        <f t="shared" si="41"/>
        <v>55.89256198347107</v>
      </c>
      <c r="F445" s="15">
        <f t="shared" si="38"/>
        <v>96.6142857142857</v>
      </c>
      <c r="G445" s="16">
        <f t="shared" si="39"/>
        <v>2420</v>
      </c>
      <c r="H445" s="17">
        <f t="shared" si="40"/>
        <v>1690.7499999999998</v>
      </c>
      <c r="I445" s="7"/>
    </row>
    <row r="446" spans="1:9" s="8" customFormat="1" ht="15" hidden="1">
      <c r="A446" s="6" t="s">
        <v>935</v>
      </c>
      <c r="B446" s="9" t="s">
        <v>941</v>
      </c>
      <c r="C446" s="9" t="s">
        <v>938</v>
      </c>
      <c r="D446" s="9">
        <v>38.51</v>
      </c>
      <c r="E446" s="15">
        <f t="shared" si="41"/>
        <v>31.826446280991735</v>
      </c>
      <c r="F446" s="15">
        <f t="shared" si="38"/>
        <v>55.01428571428572</v>
      </c>
      <c r="G446" s="16">
        <f t="shared" si="39"/>
        <v>1380</v>
      </c>
      <c r="H446" s="17">
        <f t="shared" si="40"/>
        <v>962.75</v>
      </c>
      <c r="I446" s="7"/>
    </row>
    <row r="447" spans="1:9" s="8" customFormat="1" ht="15">
      <c r="A447" s="6" t="s">
        <v>936</v>
      </c>
      <c r="B447" s="9" t="s">
        <v>941</v>
      </c>
      <c r="C447" s="9" t="s">
        <v>939</v>
      </c>
      <c r="D447" s="9">
        <v>107.62</v>
      </c>
      <c r="E447" s="15">
        <f t="shared" si="41"/>
        <v>88.94214876033058</v>
      </c>
      <c r="F447" s="15">
        <f t="shared" si="38"/>
        <v>153.74285714285716</v>
      </c>
      <c r="G447" s="16">
        <f t="shared" si="39"/>
        <v>3840</v>
      </c>
      <c r="H447" s="17">
        <f t="shared" si="40"/>
        <v>2690.5</v>
      </c>
      <c r="I447" s="7"/>
    </row>
    <row r="448" spans="1:9" s="8" customFormat="1" ht="15">
      <c r="A448" s="6" t="s">
        <v>497</v>
      </c>
      <c r="B448" s="9" t="s">
        <v>17</v>
      </c>
      <c r="C448" s="9" t="s">
        <v>687</v>
      </c>
      <c r="D448" s="9"/>
      <c r="E448" s="15">
        <v>16.18</v>
      </c>
      <c r="F448" s="15">
        <f t="shared" si="38"/>
        <v>27.968285714285713</v>
      </c>
      <c r="G448" s="16">
        <f t="shared" si="39"/>
        <v>700</v>
      </c>
      <c r="H448" s="17">
        <f t="shared" si="40"/>
        <v>489.44499999999994</v>
      </c>
      <c r="I448" s="7"/>
    </row>
    <row r="449" spans="1:9" s="8" customFormat="1" ht="15">
      <c r="A449" s="6" t="s">
        <v>498</v>
      </c>
      <c r="B449" s="9" t="s">
        <v>18</v>
      </c>
      <c r="C449" s="9" t="s">
        <v>688</v>
      </c>
      <c r="D449" s="9">
        <v>27.65</v>
      </c>
      <c r="E449" s="15">
        <f>D449/1.21</f>
        <v>22.85123966942149</v>
      </c>
      <c r="F449" s="15">
        <f t="shared" si="38"/>
        <v>39.50000000000001</v>
      </c>
      <c r="G449" s="16">
        <f t="shared" si="39"/>
        <v>990</v>
      </c>
      <c r="H449" s="17">
        <f t="shared" si="40"/>
        <v>691.2500000000001</v>
      </c>
      <c r="I449" s="7"/>
    </row>
    <row r="450" spans="1:9" s="8" customFormat="1" ht="15" hidden="1">
      <c r="A450" s="6" t="s">
        <v>499</v>
      </c>
      <c r="B450" s="9" t="s">
        <v>18</v>
      </c>
      <c r="C450" s="9" t="s">
        <v>689</v>
      </c>
      <c r="D450" s="9">
        <v>38.63</v>
      </c>
      <c r="E450" s="15">
        <f>D450/1.21</f>
        <v>31.925619834710748</v>
      </c>
      <c r="F450" s="15">
        <f t="shared" si="38"/>
        <v>55.1857142857143</v>
      </c>
      <c r="G450" s="16">
        <f t="shared" si="39"/>
        <v>1380</v>
      </c>
      <c r="H450" s="17">
        <f t="shared" si="40"/>
        <v>965.7500000000001</v>
      </c>
      <c r="I450" s="7"/>
    </row>
    <row r="451" spans="1:9" s="8" customFormat="1" ht="15">
      <c r="A451" s="6" t="s">
        <v>500</v>
      </c>
      <c r="B451" s="9" t="s">
        <v>18</v>
      </c>
      <c r="C451" s="9" t="s">
        <v>690</v>
      </c>
      <c r="D451" s="9">
        <v>28.63</v>
      </c>
      <c r="E451" s="15">
        <f>D451/1.21</f>
        <v>23.66115702479339</v>
      </c>
      <c r="F451" s="15">
        <f t="shared" si="38"/>
        <v>40.900000000000006</v>
      </c>
      <c r="G451" s="16">
        <f t="shared" si="39"/>
        <v>1020</v>
      </c>
      <c r="H451" s="17">
        <f t="shared" si="40"/>
        <v>715.75</v>
      </c>
      <c r="I451" s="7"/>
    </row>
    <row r="452" spans="1:9" s="8" customFormat="1" ht="15">
      <c r="A452" s="6" t="s">
        <v>501</v>
      </c>
      <c r="B452" s="9" t="s">
        <v>19</v>
      </c>
      <c r="C452" s="9" t="s">
        <v>691</v>
      </c>
      <c r="D452" s="9"/>
      <c r="E452" s="15">
        <v>5.7</v>
      </c>
      <c r="F452" s="15">
        <f t="shared" si="38"/>
        <v>9.852857142857145</v>
      </c>
      <c r="G452" s="16">
        <f t="shared" si="39"/>
        <v>250</v>
      </c>
      <c r="H452" s="17">
        <f t="shared" si="40"/>
        <v>172.425</v>
      </c>
      <c r="I452" s="7"/>
    </row>
    <row r="453" spans="1:9" s="8" customFormat="1" ht="15" hidden="1">
      <c r="A453" s="6" t="s">
        <v>502</v>
      </c>
      <c r="B453" s="9" t="s">
        <v>10</v>
      </c>
      <c r="C453" s="9" t="s">
        <v>890</v>
      </c>
      <c r="D453" s="9">
        <v>420.62</v>
      </c>
      <c r="E453" s="15">
        <f>D453/1.21</f>
        <v>347.6198347107438</v>
      </c>
      <c r="F453" s="15">
        <f t="shared" si="38"/>
        <v>600.8857142857144</v>
      </c>
      <c r="G453" s="16">
        <f t="shared" si="39"/>
        <v>15020</v>
      </c>
      <c r="H453" s="17">
        <f t="shared" si="40"/>
        <v>10515.5</v>
      </c>
      <c r="I453" s="7"/>
    </row>
    <row r="454" spans="1:9" s="8" customFormat="1" ht="15" hidden="1">
      <c r="A454" s="6" t="s">
        <v>942</v>
      </c>
      <c r="B454" s="9" t="s">
        <v>10</v>
      </c>
      <c r="C454" s="9" t="s">
        <v>943</v>
      </c>
      <c r="D454" s="9">
        <v>542.06</v>
      </c>
      <c r="E454" s="15">
        <f>D454/1.21</f>
        <v>447.98347107438013</v>
      </c>
      <c r="F454" s="15">
        <f t="shared" si="38"/>
        <v>774.3714285714285</v>
      </c>
      <c r="G454" s="16">
        <f t="shared" si="39"/>
        <v>19360</v>
      </c>
      <c r="H454" s="17">
        <f t="shared" si="40"/>
        <v>13551.499999999998</v>
      </c>
      <c r="I454" s="7"/>
    </row>
    <row r="455" spans="1:9" s="8" customFormat="1" ht="15">
      <c r="A455" s="6" t="s">
        <v>886</v>
      </c>
      <c r="B455" s="9" t="s">
        <v>783</v>
      </c>
      <c r="C455" s="9" t="s">
        <v>887</v>
      </c>
      <c r="D455" s="9"/>
      <c r="E455" s="15">
        <v>24</v>
      </c>
      <c r="F455" s="15">
        <f t="shared" si="38"/>
        <v>41.48571428571428</v>
      </c>
      <c r="G455" s="16">
        <f t="shared" si="39"/>
        <v>1040</v>
      </c>
      <c r="H455" s="17">
        <f t="shared" si="40"/>
        <v>725.9999999999999</v>
      </c>
      <c r="I455" s="7"/>
    </row>
    <row r="456" spans="1:9" s="8" customFormat="1" ht="15">
      <c r="A456" s="13" t="s">
        <v>889</v>
      </c>
      <c r="B456" s="9" t="s">
        <v>783</v>
      </c>
      <c r="C456" s="9" t="s">
        <v>888</v>
      </c>
      <c r="D456" s="9"/>
      <c r="E456" s="15">
        <v>34</v>
      </c>
      <c r="F456" s="15">
        <f t="shared" si="38"/>
        <v>58.77142857142858</v>
      </c>
      <c r="G456" s="16">
        <f t="shared" si="39"/>
        <v>1470</v>
      </c>
      <c r="H456" s="17">
        <f t="shared" si="40"/>
        <v>1028.5</v>
      </c>
      <c r="I456" s="7"/>
    </row>
    <row r="457" spans="1:9" s="8" customFormat="1" ht="15">
      <c r="A457" s="7" t="s">
        <v>820</v>
      </c>
      <c r="B457" s="7" t="s">
        <v>10</v>
      </c>
      <c r="C457" s="7" t="s">
        <v>891</v>
      </c>
      <c r="D457" s="7">
        <v>127.37</v>
      </c>
      <c r="E457" s="15">
        <f>D457/1.21</f>
        <v>105.26446280991736</v>
      </c>
      <c r="F457" s="15">
        <f t="shared" si="38"/>
        <v>181.95714285714288</v>
      </c>
      <c r="G457" s="16">
        <f t="shared" si="39"/>
        <v>4550</v>
      </c>
      <c r="H457" s="17">
        <f t="shared" si="40"/>
        <v>3184.2500000000005</v>
      </c>
      <c r="I457" s="7"/>
    </row>
    <row r="458" spans="1:9" s="8" customFormat="1" ht="15">
      <c r="A458" s="7" t="s">
        <v>821</v>
      </c>
      <c r="B458" s="7" t="s">
        <v>10</v>
      </c>
      <c r="C458" s="7" t="s">
        <v>892</v>
      </c>
      <c r="D458" s="7">
        <v>127.37</v>
      </c>
      <c r="E458" s="15">
        <f>D458/1.21</f>
        <v>105.26446280991736</v>
      </c>
      <c r="F458" s="15">
        <f t="shared" si="38"/>
        <v>181.95714285714288</v>
      </c>
      <c r="G458" s="16">
        <f t="shared" si="39"/>
        <v>4550</v>
      </c>
      <c r="H458" s="17">
        <f t="shared" si="40"/>
        <v>3184.2500000000005</v>
      </c>
      <c r="I458" s="7"/>
    </row>
    <row r="459" spans="1:9" s="8" customFormat="1" ht="15">
      <c r="A459" s="7" t="s">
        <v>822</v>
      </c>
      <c r="B459" s="7" t="s">
        <v>10</v>
      </c>
      <c r="C459" s="7" t="s">
        <v>894</v>
      </c>
      <c r="D459" s="7">
        <v>127.37</v>
      </c>
      <c r="E459" s="15">
        <f>D459/1.21</f>
        <v>105.26446280991736</v>
      </c>
      <c r="F459" s="15">
        <f t="shared" si="38"/>
        <v>181.95714285714288</v>
      </c>
      <c r="G459" s="16">
        <f t="shared" si="39"/>
        <v>4550</v>
      </c>
      <c r="H459" s="17">
        <f t="shared" si="40"/>
        <v>3184.2500000000005</v>
      </c>
      <c r="I459" s="7"/>
    </row>
    <row r="460" spans="1:9" s="8" customFormat="1" ht="15">
      <c r="A460" s="7" t="s">
        <v>823</v>
      </c>
      <c r="B460" s="7" t="s">
        <v>10</v>
      </c>
      <c r="C460" s="7" t="s">
        <v>893</v>
      </c>
      <c r="D460" s="7">
        <v>127.37</v>
      </c>
      <c r="E460" s="15">
        <f>D460/1.21</f>
        <v>105.26446280991736</v>
      </c>
      <c r="F460" s="15">
        <f t="shared" si="38"/>
        <v>181.95714285714288</v>
      </c>
      <c r="G460" s="16">
        <f t="shared" si="39"/>
        <v>4550</v>
      </c>
      <c r="H460" s="17">
        <f t="shared" si="40"/>
        <v>3184.2500000000005</v>
      </c>
      <c r="I460" s="7"/>
    </row>
    <row r="461" spans="1:9" s="8" customFormat="1" ht="15">
      <c r="A461" s="6" t="s">
        <v>503</v>
      </c>
      <c r="B461" s="9" t="s">
        <v>10</v>
      </c>
      <c r="C461" s="9" t="s">
        <v>692</v>
      </c>
      <c r="D461" s="9">
        <v>42.95</v>
      </c>
      <c r="E461" s="15">
        <f aca="true" t="shared" si="42" ref="E461:E480">D461/1.21</f>
        <v>35.49586776859505</v>
      </c>
      <c r="F461" s="15">
        <f t="shared" si="38"/>
        <v>61.35714285714287</v>
      </c>
      <c r="G461" s="16">
        <f t="shared" si="39"/>
        <v>1530</v>
      </c>
      <c r="H461" s="17">
        <f t="shared" si="40"/>
        <v>1073.7500000000002</v>
      </c>
      <c r="I461" s="7"/>
    </row>
    <row r="462" spans="1:9" s="8" customFormat="1" ht="15">
      <c r="A462" s="6" t="s">
        <v>990</v>
      </c>
      <c r="B462" s="9" t="s">
        <v>12</v>
      </c>
      <c r="C462" s="9" t="s">
        <v>991</v>
      </c>
      <c r="D462" s="9">
        <v>29.62</v>
      </c>
      <c r="E462" s="15">
        <f t="shared" si="42"/>
        <v>24.47933884297521</v>
      </c>
      <c r="F462" s="15">
        <f aca="true" t="shared" si="43" ref="F462:F480">(E462/0.7)*1.21</f>
        <v>42.31428571428572</v>
      </c>
      <c r="G462" s="16">
        <f aca="true" t="shared" si="44" ref="G462:G480">ROUND((F462/1.21)*1.21*$I$1,-1)</f>
        <v>1060</v>
      </c>
      <c r="H462" s="17">
        <f aca="true" t="shared" si="45" ref="H462:H480">(F462/1.21)*1.21*$I$1*0.7</f>
        <v>740.5</v>
      </c>
      <c r="I462" s="10"/>
    </row>
    <row r="463" spans="1:9" s="8" customFormat="1" ht="15">
      <c r="A463" s="6" t="s">
        <v>992</v>
      </c>
      <c r="B463" s="9" t="s">
        <v>12</v>
      </c>
      <c r="C463" s="9" t="s">
        <v>994</v>
      </c>
      <c r="D463" s="9">
        <v>41.47</v>
      </c>
      <c r="E463" s="15">
        <f t="shared" si="42"/>
        <v>34.27272727272727</v>
      </c>
      <c r="F463" s="15">
        <f t="shared" si="43"/>
        <v>59.24285714285715</v>
      </c>
      <c r="G463" s="16">
        <f t="shared" si="44"/>
        <v>1480</v>
      </c>
      <c r="H463" s="17">
        <f t="shared" si="45"/>
        <v>1036.75</v>
      </c>
      <c r="I463" s="10"/>
    </row>
    <row r="464" spans="1:9" s="8" customFormat="1" ht="15">
      <c r="A464" s="6" t="s">
        <v>993</v>
      </c>
      <c r="B464" s="9" t="s">
        <v>12</v>
      </c>
      <c r="C464" s="9" t="s">
        <v>995</v>
      </c>
      <c r="D464" s="9">
        <v>59.24</v>
      </c>
      <c r="E464" s="15">
        <f t="shared" si="42"/>
        <v>48.95867768595042</v>
      </c>
      <c r="F464" s="15">
        <f t="shared" si="43"/>
        <v>84.62857142857143</v>
      </c>
      <c r="G464" s="16">
        <f t="shared" si="44"/>
        <v>2120</v>
      </c>
      <c r="H464" s="17">
        <f t="shared" si="45"/>
        <v>1481</v>
      </c>
      <c r="I464" s="10"/>
    </row>
    <row r="465" spans="1:9" s="8" customFormat="1" ht="15">
      <c r="A465" s="6" t="s">
        <v>504</v>
      </c>
      <c r="B465" s="9" t="s">
        <v>27</v>
      </c>
      <c r="C465" s="9" t="s">
        <v>1037</v>
      </c>
      <c r="D465" s="9">
        <v>35.56</v>
      </c>
      <c r="E465" s="15">
        <f t="shared" si="42"/>
        <v>29.38842975206612</v>
      </c>
      <c r="F465" s="15">
        <f t="shared" si="43"/>
        <v>50.80000000000001</v>
      </c>
      <c r="G465" s="16">
        <f t="shared" si="44"/>
        <v>1270</v>
      </c>
      <c r="H465" s="17">
        <f t="shared" si="45"/>
        <v>889.0000000000001</v>
      </c>
      <c r="I465" s="7"/>
    </row>
    <row r="466" spans="1:9" s="8" customFormat="1" ht="15">
      <c r="A466" s="6" t="s">
        <v>505</v>
      </c>
      <c r="B466" s="9" t="s">
        <v>27</v>
      </c>
      <c r="C466" s="9" t="s">
        <v>1036</v>
      </c>
      <c r="D466" s="9">
        <v>10.15</v>
      </c>
      <c r="E466" s="15">
        <f t="shared" si="42"/>
        <v>8.388429752066116</v>
      </c>
      <c r="F466" s="15">
        <f t="shared" si="43"/>
        <v>14.500000000000002</v>
      </c>
      <c r="G466" s="16">
        <f t="shared" si="44"/>
        <v>360</v>
      </c>
      <c r="H466" s="17">
        <f t="shared" si="45"/>
        <v>253.75000000000003</v>
      </c>
      <c r="I466" s="7"/>
    </row>
    <row r="467" spans="1:9" s="8" customFormat="1" ht="15">
      <c r="A467" s="6" t="s">
        <v>1034</v>
      </c>
      <c r="B467" s="9" t="s">
        <v>27</v>
      </c>
      <c r="C467" s="9" t="s">
        <v>1035</v>
      </c>
      <c r="D467" s="9">
        <v>18.4</v>
      </c>
      <c r="E467" s="15">
        <f t="shared" si="42"/>
        <v>15.206611570247933</v>
      </c>
      <c r="F467" s="15">
        <f>(E467/0.7)*1.21</f>
        <v>26.28571428571429</v>
      </c>
      <c r="G467" s="16">
        <f>ROUND((F467/1.21)*1.21*$I$1,-1)</f>
        <v>660</v>
      </c>
      <c r="H467" s="17">
        <f>(F467/1.21)*1.21*$I$1*0.7</f>
        <v>460</v>
      </c>
      <c r="I467" s="7"/>
    </row>
    <row r="468" spans="1:9" s="8" customFormat="1" ht="15" hidden="1">
      <c r="A468" s="6" t="s">
        <v>507</v>
      </c>
      <c r="B468" s="9" t="s">
        <v>28</v>
      </c>
      <c r="C468" s="9" t="s">
        <v>694</v>
      </c>
      <c r="D468" s="9">
        <v>393.96</v>
      </c>
      <c r="E468" s="15">
        <f t="shared" si="42"/>
        <v>325.58677685950414</v>
      </c>
      <c r="F468" s="15">
        <f t="shared" si="43"/>
        <v>562.8000000000001</v>
      </c>
      <c r="G468" s="16">
        <f t="shared" si="44"/>
        <v>14070</v>
      </c>
      <c r="H468" s="17">
        <f t="shared" si="45"/>
        <v>9849</v>
      </c>
      <c r="I468" s="7"/>
    </row>
    <row r="469" spans="1:9" s="8" customFormat="1" ht="15" hidden="1">
      <c r="A469" s="6" t="s">
        <v>508</v>
      </c>
      <c r="B469" s="9" t="s">
        <v>28</v>
      </c>
      <c r="C469" s="9" t="s">
        <v>695</v>
      </c>
      <c r="D469" s="9">
        <v>127.37</v>
      </c>
      <c r="E469" s="15">
        <f t="shared" si="42"/>
        <v>105.26446280991736</v>
      </c>
      <c r="F469" s="15">
        <f t="shared" si="43"/>
        <v>181.95714285714288</v>
      </c>
      <c r="G469" s="16">
        <f t="shared" si="44"/>
        <v>4550</v>
      </c>
      <c r="H469" s="17">
        <f t="shared" si="45"/>
        <v>3184.2500000000005</v>
      </c>
      <c r="I469" s="7"/>
    </row>
    <row r="470" spans="1:9" s="8" customFormat="1" ht="15" hidden="1">
      <c r="A470" s="6" t="s">
        <v>506</v>
      </c>
      <c r="B470" s="9" t="s">
        <v>25</v>
      </c>
      <c r="C470" s="9" t="s">
        <v>693</v>
      </c>
      <c r="D470" s="9"/>
      <c r="E470" s="15">
        <f t="shared" si="42"/>
        <v>0</v>
      </c>
      <c r="F470" s="15">
        <f t="shared" si="43"/>
        <v>0</v>
      </c>
      <c r="G470" s="16">
        <f t="shared" si="44"/>
        <v>0</v>
      </c>
      <c r="H470" s="17">
        <f t="shared" si="45"/>
        <v>0</v>
      </c>
      <c r="I470" s="7"/>
    </row>
    <row r="471" spans="1:9" s="8" customFormat="1" ht="15" hidden="1">
      <c r="A471" s="6" t="s">
        <v>895</v>
      </c>
      <c r="B471" s="9" t="s">
        <v>899</v>
      </c>
      <c r="C471" s="9" t="s">
        <v>896</v>
      </c>
      <c r="D471" s="9"/>
      <c r="E471" s="15">
        <f t="shared" si="42"/>
        <v>0</v>
      </c>
      <c r="F471" s="15">
        <f t="shared" si="43"/>
        <v>0</v>
      </c>
      <c r="G471" s="16">
        <f t="shared" si="44"/>
        <v>0</v>
      </c>
      <c r="H471" s="17">
        <f t="shared" si="45"/>
        <v>0</v>
      </c>
      <c r="I471" s="7"/>
    </row>
    <row r="472" spans="1:9" s="8" customFormat="1" ht="15" hidden="1">
      <c r="A472" s="6" t="s">
        <v>897</v>
      </c>
      <c r="B472" s="9" t="s">
        <v>899</v>
      </c>
      <c r="C472" s="9" t="s">
        <v>898</v>
      </c>
      <c r="D472" s="9"/>
      <c r="E472" s="15">
        <f t="shared" si="42"/>
        <v>0</v>
      </c>
      <c r="F472" s="15">
        <f t="shared" si="43"/>
        <v>0</v>
      </c>
      <c r="G472" s="16">
        <f t="shared" si="44"/>
        <v>0</v>
      </c>
      <c r="H472" s="17">
        <f t="shared" si="45"/>
        <v>0</v>
      </c>
      <c r="I472" s="7"/>
    </row>
    <row r="473" spans="1:9" s="8" customFormat="1" ht="15" hidden="1">
      <c r="A473" s="6" t="s">
        <v>509</v>
      </c>
      <c r="B473" s="9" t="s">
        <v>25</v>
      </c>
      <c r="C473" s="9" t="s">
        <v>696</v>
      </c>
      <c r="D473" s="9">
        <v>17.72</v>
      </c>
      <c r="E473" s="15">
        <f t="shared" si="42"/>
        <v>14.644628099173554</v>
      </c>
      <c r="F473" s="15">
        <f t="shared" si="43"/>
        <v>25.314285714285713</v>
      </c>
      <c r="G473" s="16">
        <f t="shared" si="44"/>
        <v>630</v>
      </c>
      <c r="H473" s="17">
        <f t="shared" si="45"/>
        <v>442.99999999999994</v>
      </c>
      <c r="I473" s="7"/>
    </row>
    <row r="474" spans="1:9" s="8" customFormat="1" ht="15">
      <c r="A474" s="6" t="s">
        <v>510</v>
      </c>
      <c r="B474" s="9" t="s">
        <v>25</v>
      </c>
      <c r="C474" s="9" t="s">
        <v>697</v>
      </c>
      <c r="D474" s="9">
        <v>24.68</v>
      </c>
      <c r="E474" s="15">
        <f t="shared" si="42"/>
        <v>20.39669421487603</v>
      </c>
      <c r="F474" s="15">
        <f t="shared" si="43"/>
        <v>35.25714285714285</v>
      </c>
      <c r="G474" s="16">
        <f t="shared" si="44"/>
        <v>880</v>
      </c>
      <c r="H474" s="17">
        <f t="shared" si="45"/>
        <v>616.9999999999999</v>
      </c>
      <c r="I474" s="7"/>
    </row>
    <row r="475" spans="1:9" s="8" customFormat="1" ht="15" hidden="1">
      <c r="A475" s="7" t="s">
        <v>1012</v>
      </c>
      <c r="B475" s="7" t="s">
        <v>20</v>
      </c>
      <c r="C475" s="7" t="s">
        <v>1013</v>
      </c>
      <c r="D475" s="7"/>
      <c r="E475" s="15">
        <f t="shared" si="42"/>
        <v>0</v>
      </c>
      <c r="F475" s="15">
        <f t="shared" si="43"/>
        <v>0</v>
      </c>
      <c r="G475" s="16">
        <f t="shared" si="44"/>
        <v>0</v>
      </c>
      <c r="H475" s="17">
        <f t="shared" si="45"/>
        <v>0</v>
      </c>
      <c r="I475" s="10"/>
    </row>
    <row r="476" spans="1:9" s="8" customFormat="1" ht="15">
      <c r="A476" s="6" t="s">
        <v>1011</v>
      </c>
      <c r="B476" s="7" t="s">
        <v>20</v>
      </c>
      <c r="C476" s="7" t="s">
        <v>1015</v>
      </c>
      <c r="D476" s="7">
        <v>42.95</v>
      </c>
      <c r="E476" s="15">
        <f t="shared" si="42"/>
        <v>35.49586776859505</v>
      </c>
      <c r="F476" s="15">
        <f t="shared" si="43"/>
        <v>61.35714285714287</v>
      </c>
      <c r="G476" s="16">
        <f t="shared" si="44"/>
        <v>1530</v>
      </c>
      <c r="H476" s="17">
        <f t="shared" si="45"/>
        <v>1073.7500000000002</v>
      </c>
      <c r="I476" s="10"/>
    </row>
    <row r="477" spans="1:9" s="8" customFormat="1" ht="15">
      <c r="A477" s="6" t="s">
        <v>1008</v>
      </c>
      <c r="B477" s="7" t="s">
        <v>20</v>
      </c>
      <c r="C477" s="7" t="s">
        <v>1009</v>
      </c>
      <c r="D477" s="7">
        <v>14.76</v>
      </c>
      <c r="E477" s="15">
        <f t="shared" si="42"/>
        <v>12.198347107438016</v>
      </c>
      <c r="F477" s="15">
        <f t="shared" si="43"/>
        <v>21.085714285714285</v>
      </c>
      <c r="G477" s="16">
        <f t="shared" si="44"/>
        <v>530</v>
      </c>
      <c r="H477" s="17">
        <f t="shared" si="45"/>
        <v>368.99999999999994</v>
      </c>
      <c r="I477" s="10"/>
    </row>
    <row r="478" spans="1:9" s="8" customFormat="1" ht="15">
      <c r="A478" s="6" t="s">
        <v>1010</v>
      </c>
      <c r="B478" s="7" t="s">
        <v>20</v>
      </c>
      <c r="C478" s="7" t="s">
        <v>1014</v>
      </c>
      <c r="D478" s="7">
        <v>24.63</v>
      </c>
      <c r="E478" s="15">
        <f t="shared" si="42"/>
        <v>20.355371900826444</v>
      </c>
      <c r="F478" s="15">
        <f t="shared" si="43"/>
        <v>35.18571428571428</v>
      </c>
      <c r="G478" s="16">
        <f t="shared" si="44"/>
        <v>880</v>
      </c>
      <c r="H478" s="17">
        <f t="shared" si="45"/>
        <v>615.7499999999999</v>
      </c>
      <c r="I478" s="10"/>
    </row>
    <row r="479" spans="1:9" s="8" customFormat="1" ht="15">
      <c r="A479" s="6" t="s">
        <v>511</v>
      </c>
      <c r="B479" s="9" t="s">
        <v>20</v>
      </c>
      <c r="C479" s="9" t="s">
        <v>1020</v>
      </c>
      <c r="D479" s="9">
        <v>63.19</v>
      </c>
      <c r="E479" s="15">
        <f t="shared" si="42"/>
        <v>52.22314049586777</v>
      </c>
      <c r="F479" s="15">
        <f t="shared" si="43"/>
        <v>90.27142857142857</v>
      </c>
      <c r="G479" s="16">
        <f t="shared" si="44"/>
        <v>2260</v>
      </c>
      <c r="H479" s="17">
        <f t="shared" si="45"/>
        <v>1579.7499999999998</v>
      </c>
      <c r="I479" s="7"/>
    </row>
    <row r="480" spans="1:9" s="8" customFormat="1" ht="15">
      <c r="A480" s="6" t="s">
        <v>512</v>
      </c>
      <c r="B480" s="9" t="s">
        <v>20</v>
      </c>
      <c r="C480" s="9" t="s">
        <v>1021</v>
      </c>
      <c r="D480" s="9">
        <v>19.25</v>
      </c>
      <c r="E480" s="15">
        <f t="shared" si="42"/>
        <v>15.90909090909091</v>
      </c>
      <c r="F480" s="15">
        <f t="shared" si="43"/>
        <v>27.500000000000004</v>
      </c>
      <c r="G480" s="16">
        <f t="shared" si="44"/>
        <v>690</v>
      </c>
      <c r="H480" s="17">
        <f t="shared" si="45"/>
        <v>481.25000000000006</v>
      </c>
      <c r="I480" s="7"/>
    </row>
    <row r="481" spans="1:9" s="8" customFormat="1" ht="15">
      <c r="A481" s="6" t="s">
        <v>513</v>
      </c>
      <c r="B481" s="9" t="s">
        <v>20</v>
      </c>
      <c r="C481" s="9" t="s">
        <v>1022</v>
      </c>
      <c r="D481" s="9">
        <v>37.47</v>
      </c>
      <c r="E481" s="15">
        <f aca="true" t="shared" si="46" ref="E481:E510">D481/1.21</f>
        <v>30.96694214876033</v>
      </c>
      <c r="F481" s="15">
        <f aca="true" t="shared" si="47" ref="F481:F510">(E481/0.7)*1.21</f>
        <v>53.52857142857143</v>
      </c>
      <c r="G481" s="16">
        <f aca="true" t="shared" si="48" ref="G481:G510">ROUND((F481/1.21)*1.21*$I$1,-1)</f>
        <v>1340</v>
      </c>
      <c r="H481" s="17">
        <f aca="true" t="shared" si="49" ref="H481:H510">(F481/1.21)*1.21*$I$1*0.7</f>
        <v>936.75</v>
      </c>
      <c r="I481" s="7"/>
    </row>
    <row r="482" spans="1:9" s="8" customFormat="1" ht="15">
      <c r="A482" s="6" t="s">
        <v>514</v>
      </c>
      <c r="B482" s="9" t="s">
        <v>25</v>
      </c>
      <c r="C482" s="9" t="s">
        <v>1016</v>
      </c>
      <c r="D482" s="9">
        <v>27.15</v>
      </c>
      <c r="E482" s="15">
        <f t="shared" si="46"/>
        <v>22.43801652892562</v>
      </c>
      <c r="F482" s="15">
        <f t="shared" si="47"/>
        <v>38.785714285714285</v>
      </c>
      <c r="G482" s="16">
        <f t="shared" si="48"/>
        <v>970</v>
      </c>
      <c r="H482" s="17">
        <f t="shared" si="49"/>
        <v>678.7499999999999</v>
      </c>
      <c r="I482" s="7"/>
    </row>
    <row r="483" spans="1:9" s="8" customFormat="1" ht="15">
      <c r="A483" s="7" t="s">
        <v>824</v>
      </c>
      <c r="B483" s="7" t="s">
        <v>20</v>
      </c>
      <c r="C483" s="7" t="s">
        <v>1019</v>
      </c>
      <c r="D483" s="7">
        <v>21.23</v>
      </c>
      <c r="E483" s="15">
        <f t="shared" si="46"/>
        <v>17.545454545454547</v>
      </c>
      <c r="F483" s="15">
        <f t="shared" si="47"/>
        <v>30.32857142857143</v>
      </c>
      <c r="G483" s="16">
        <f t="shared" si="48"/>
        <v>760</v>
      </c>
      <c r="H483" s="17">
        <f t="shared" si="49"/>
        <v>530.75</v>
      </c>
      <c r="I483" s="7"/>
    </row>
    <row r="484" spans="1:9" s="8" customFormat="1" ht="15" hidden="1">
      <c r="A484" s="7" t="s">
        <v>825</v>
      </c>
      <c r="B484" s="7" t="s">
        <v>20</v>
      </c>
      <c r="C484" s="7" t="s">
        <v>1017</v>
      </c>
      <c r="D484" s="7">
        <v>36.53</v>
      </c>
      <c r="E484" s="15">
        <f t="shared" si="46"/>
        <v>30.190082644628102</v>
      </c>
      <c r="F484" s="15">
        <f t="shared" si="47"/>
        <v>52.18571428571429</v>
      </c>
      <c r="G484" s="16">
        <f t="shared" si="48"/>
        <v>1300</v>
      </c>
      <c r="H484" s="17">
        <f t="shared" si="49"/>
        <v>913.2500000000001</v>
      </c>
      <c r="I484" s="7"/>
    </row>
    <row r="485" spans="1:9" s="8" customFormat="1" ht="15" hidden="1">
      <c r="A485" s="7" t="s">
        <v>1032</v>
      </c>
      <c r="B485" s="7" t="s">
        <v>20</v>
      </c>
      <c r="C485" s="7" t="s">
        <v>1033</v>
      </c>
      <c r="D485" s="7">
        <v>50.09</v>
      </c>
      <c r="E485" s="15">
        <f t="shared" si="46"/>
        <v>41.396694214876035</v>
      </c>
      <c r="F485" s="15">
        <f>(E485/0.7)*1.21</f>
        <v>71.55714285714286</v>
      </c>
      <c r="G485" s="16">
        <f>ROUND((F485/1.21)*1.21*$I$1,-1)</f>
        <v>1790</v>
      </c>
      <c r="H485" s="17">
        <f>(F485/1.21)*1.21*$I$1*0.7</f>
        <v>1252.25</v>
      </c>
      <c r="I485" s="7"/>
    </row>
    <row r="486" spans="1:9" s="8" customFormat="1" ht="15" hidden="1">
      <c r="A486" s="7" t="s">
        <v>42</v>
      </c>
      <c r="B486" s="7" t="s">
        <v>20</v>
      </c>
      <c r="C486" s="7" t="s">
        <v>1018</v>
      </c>
      <c r="D486" s="7"/>
      <c r="E486" s="15">
        <f t="shared" si="46"/>
        <v>0</v>
      </c>
      <c r="F486" s="15">
        <f t="shared" si="47"/>
        <v>0</v>
      </c>
      <c r="G486" s="16">
        <f t="shared" si="48"/>
        <v>0</v>
      </c>
      <c r="H486" s="17">
        <f t="shared" si="49"/>
        <v>0</v>
      </c>
      <c r="I486" s="7"/>
    </row>
    <row r="487" spans="1:9" s="8" customFormat="1" ht="15" hidden="1">
      <c r="A487" s="7" t="s">
        <v>1000</v>
      </c>
      <c r="B487" s="7" t="s">
        <v>20</v>
      </c>
      <c r="C487" s="7" t="s">
        <v>1001</v>
      </c>
      <c r="D487" s="7"/>
      <c r="E487" s="15">
        <f t="shared" si="46"/>
        <v>0</v>
      </c>
      <c r="F487" s="15">
        <f t="shared" si="47"/>
        <v>0</v>
      </c>
      <c r="G487" s="16">
        <f t="shared" si="48"/>
        <v>0</v>
      </c>
      <c r="H487" s="17">
        <f t="shared" si="49"/>
        <v>0</v>
      </c>
      <c r="I487" s="10"/>
    </row>
    <row r="488" spans="1:9" s="8" customFormat="1" ht="15">
      <c r="A488" s="7" t="s">
        <v>1002</v>
      </c>
      <c r="B488" s="7" t="s">
        <v>20</v>
      </c>
      <c r="C488" s="7" t="s">
        <v>1003</v>
      </c>
      <c r="D488" s="7">
        <v>42.95</v>
      </c>
      <c r="E488" s="15">
        <f t="shared" si="46"/>
        <v>35.49586776859505</v>
      </c>
      <c r="F488" s="15">
        <f t="shared" si="47"/>
        <v>61.35714285714287</v>
      </c>
      <c r="G488" s="16">
        <f t="shared" si="48"/>
        <v>1530</v>
      </c>
      <c r="H488" s="17">
        <f t="shared" si="49"/>
        <v>1073.7500000000002</v>
      </c>
      <c r="I488" s="10"/>
    </row>
    <row r="489" spans="1:9" s="8" customFormat="1" ht="15" hidden="1">
      <c r="A489" s="7" t="s">
        <v>1004</v>
      </c>
      <c r="B489" s="7" t="s">
        <v>20</v>
      </c>
      <c r="C489" s="7" t="s">
        <v>1005</v>
      </c>
      <c r="D489" s="7">
        <v>14.76</v>
      </c>
      <c r="E489" s="15">
        <f t="shared" si="46"/>
        <v>12.198347107438016</v>
      </c>
      <c r="F489" s="15">
        <f t="shared" si="47"/>
        <v>21.085714285714285</v>
      </c>
      <c r="G489" s="16">
        <f t="shared" si="48"/>
        <v>530</v>
      </c>
      <c r="H489" s="17">
        <f t="shared" si="49"/>
        <v>368.99999999999994</v>
      </c>
      <c r="I489" s="10"/>
    </row>
    <row r="490" spans="1:9" s="8" customFormat="1" ht="15" hidden="1">
      <c r="A490" s="7" t="s">
        <v>1006</v>
      </c>
      <c r="B490" s="7" t="s">
        <v>20</v>
      </c>
      <c r="C490" s="7" t="s">
        <v>1007</v>
      </c>
      <c r="D490" s="7">
        <v>24.63</v>
      </c>
      <c r="E490" s="15">
        <f t="shared" si="46"/>
        <v>20.355371900826444</v>
      </c>
      <c r="F490" s="15">
        <f t="shared" si="47"/>
        <v>35.18571428571428</v>
      </c>
      <c r="G490" s="16">
        <f t="shared" si="48"/>
        <v>880</v>
      </c>
      <c r="H490" s="17">
        <f t="shared" si="49"/>
        <v>615.7499999999999</v>
      </c>
      <c r="I490" s="10"/>
    </row>
    <row r="491" spans="1:9" s="8" customFormat="1" ht="15" hidden="1">
      <c r="A491" s="6" t="s">
        <v>850</v>
      </c>
      <c r="B491" s="9" t="s">
        <v>20</v>
      </c>
      <c r="C491" s="9" t="s">
        <v>847</v>
      </c>
      <c r="D491" s="9"/>
      <c r="E491" s="15">
        <f t="shared" si="46"/>
        <v>0</v>
      </c>
      <c r="F491" s="15">
        <f t="shared" si="47"/>
        <v>0</v>
      </c>
      <c r="G491" s="16">
        <f t="shared" si="48"/>
        <v>0</v>
      </c>
      <c r="H491" s="17">
        <f t="shared" si="49"/>
        <v>0</v>
      </c>
      <c r="I491" s="7"/>
    </row>
    <row r="492" spans="1:9" s="8" customFormat="1" ht="15" hidden="1">
      <c r="A492" s="6" t="s">
        <v>851</v>
      </c>
      <c r="B492" s="9" t="s">
        <v>20</v>
      </c>
      <c r="C492" s="9" t="s">
        <v>848</v>
      </c>
      <c r="D492" s="9"/>
      <c r="E492" s="15">
        <f t="shared" si="46"/>
        <v>0</v>
      </c>
      <c r="F492" s="15">
        <f t="shared" si="47"/>
        <v>0</v>
      </c>
      <c r="G492" s="16">
        <f t="shared" si="48"/>
        <v>0</v>
      </c>
      <c r="H492" s="17">
        <f t="shared" si="49"/>
        <v>0</v>
      </c>
      <c r="I492" s="7"/>
    </row>
    <row r="493" spans="1:9" s="8" customFormat="1" ht="15" hidden="1">
      <c r="A493" s="6" t="s">
        <v>852</v>
      </c>
      <c r="B493" s="9" t="s">
        <v>20</v>
      </c>
      <c r="C493" s="9" t="s">
        <v>849</v>
      </c>
      <c r="D493" s="9"/>
      <c r="E493" s="15">
        <f t="shared" si="46"/>
        <v>0</v>
      </c>
      <c r="F493" s="15">
        <f t="shared" si="47"/>
        <v>0</v>
      </c>
      <c r="G493" s="16">
        <f t="shared" si="48"/>
        <v>0</v>
      </c>
      <c r="H493" s="17">
        <f t="shared" si="49"/>
        <v>0</v>
      </c>
      <c r="I493" s="7"/>
    </row>
    <row r="494" spans="1:9" s="8" customFormat="1" ht="15" hidden="1">
      <c r="A494" s="6" t="s">
        <v>155</v>
      </c>
      <c r="B494" s="9" t="s">
        <v>27</v>
      </c>
      <c r="C494" s="9" t="s">
        <v>621</v>
      </c>
      <c r="D494" s="9">
        <v>351.5</v>
      </c>
      <c r="E494" s="15">
        <f t="shared" si="46"/>
        <v>290.4958677685951</v>
      </c>
      <c r="F494" s="15">
        <f t="shared" si="47"/>
        <v>502.1428571428572</v>
      </c>
      <c r="G494" s="16">
        <f t="shared" si="48"/>
        <v>12550</v>
      </c>
      <c r="H494" s="17">
        <f t="shared" si="49"/>
        <v>8787.500000000002</v>
      </c>
      <c r="I494" s="7"/>
    </row>
    <row r="495" spans="1:9" s="8" customFormat="1" ht="15" hidden="1">
      <c r="A495" s="6" t="s">
        <v>156</v>
      </c>
      <c r="B495" s="9" t="s">
        <v>27</v>
      </c>
      <c r="C495" s="9" t="s">
        <v>622</v>
      </c>
      <c r="D495" s="9">
        <v>88.86</v>
      </c>
      <c r="E495" s="15">
        <f t="shared" si="46"/>
        <v>73.43801652892562</v>
      </c>
      <c r="F495" s="15">
        <f t="shared" si="47"/>
        <v>126.94285714285714</v>
      </c>
      <c r="G495" s="16">
        <f t="shared" si="48"/>
        <v>3170</v>
      </c>
      <c r="H495" s="17">
        <f t="shared" si="49"/>
        <v>2221.4999999999995</v>
      </c>
      <c r="I495" s="7"/>
    </row>
    <row r="496" spans="1:9" s="8" customFormat="1" ht="15" hidden="1">
      <c r="A496" s="6" t="s">
        <v>853</v>
      </c>
      <c r="B496" s="9" t="s">
        <v>20</v>
      </c>
      <c r="C496" s="9" t="s">
        <v>856</v>
      </c>
      <c r="D496" s="9"/>
      <c r="E496" s="15">
        <f t="shared" si="46"/>
        <v>0</v>
      </c>
      <c r="F496" s="15">
        <f t="shared" si="47"/>
        <v>0</v>
      </c>
      <c r="G496" s="16">
        <f t="shared" si="48"/>
        <v>0</v>
      </c>
      <c r="H496" s="17">
        <f t="shared" si="49"/>
        <v>0</v>
      </c>
      <c r="I496" s="7"/>
    </row>
    <row r="497" spans="1:9" s="8" customFormat="1" ht="15" hidden="1">
      <c r="A497" s="6" t="s">
        <v>854</v>
      </c>
      <c r="B497" s="9" t="s">
        <v>20</v>
      </c>
      <c r="C497" s="9" t="s">
        <v>857</v>
      </c>
      <c r="D497" s="9"/>
      <c r="E497" s="15">
        <f t="shared" si="46"/>
        <v>0</v>
      </c>
      <c r="F497" s="15">
        <f t="shared" si="47"/>
        <v>0</v>
      </c>
      <c r="G497" s="16">
        <f t="shared" si="48"/>
        <v>0</v>
      </c>
      <c r="H497" s="17">
        <f t="shared" si="49"/>
        <v>0</v>
      </c>
      <c r="I497" s="7"/>
    </row>
    <row r="498" spans="1:9" s="8" customFormat="1" ht="15" hidden="1">
      <c r="A498" s="6" t="s">
        <v>855</v>
      </c>
      <c r="B498" s="9" t="s">
        <v>20</v>
      </c>
      <c r="C498" s="9" t="s">
        <v>858</v>
      </c>
      <c r="D498" s="9"/>
      <c r="E498" s="15">
        <f t="shared" si="46"/>
        <v>0</v>
      </c>
      <c r="F498" s="15">
        <f t="shared" si="47"/>
        <v>0</v>
      </c>
      <c r="G498" s="16">
        <f t="shared" si="48"/>
        <v>0</v>
      </c>
      <c r="H498" s="17">
        <f t="shared" si="49"/>
        <v>0</v>
      </c>
      <c r="I498" s="7"/>
    </row>
    <row r="499" spans="1:9" s="8" customFormat="1" ht="15" hidden="1">
      <c r="A499" s="6" t="s">
        <v>157</v>
      </c>
      <c r="B499" s="9" t="s">
        <v>9</v>
      </c>
      <c r="C499" s="9" t="s">
        <v>698</v>
      </c>
      <c r="D499" s="9"/>
      <c r="E499" s="15">
        <f t="shared" si="46"/>
        <v>0</v>
      </c>
      <c r="F499" s="15">
        <f t="shared" si="47"/>
        <v>0</v>
      </c>
      <c r="G499" s="16">
        <f t="shared" si="48"/>
        <v>0</v>
      </c>
      <c r="H499" s="17">
        <f t="shared" si="49"/>
        <v>0</v>
      </c>
      <c r="I499" s="7"/>
    </row>
    <row r="500" spans="1:9" s="8" customFormat="1" ht="15">
      <c r="A500" s="6" t="s">
        <v>158</v>
      </c>
      <c r="B500" s="9" t="s">
        <v>9</v>
      </c>
      <c r="C500" s="9" t="s">
        <v>699</v>
      </c>
      <c r="D500" s="9">
        <v>17.77</v>
      </c>
      <c r="E500" s="15">
        <f t="shared" si="46"/>
        <v>14.685950413223141</v>
      </c>
      <c r="F500" s="15">
        <f t="shared" si="47"/>
        <v>25.38571428571429</v>
      </c>
      <c r="G500" s="16">
        <f t="shared" si="48"/>
        <v>630</v>
      </c>
      <c r="H500" s="17">
        <f t="shared" si="49"/>
        <v>444.25000000000006</v>
      </c>
      <c r="I500" s="7"/>
    </row>
    <row r="501" spans="1:9" s="8" customFormat="1" ht="15">
      <c r="A501" s="6" t="s">
        <v>159</v>
      </c>
      <c r="B501" s="9" t="s">
        <v>8</v>
      </c>
      <c r="C501" s="9" t="s">
        <v>700</v>
      </c>
      <c r="D501" s="9">
        <v>17.77</v>
      </c>
      <c r="E501" s="15">
        <f t="shared" si="46"/>
        <v>14.685950413223141</v>
      </c>
      <c r="F501" s="15">
        <f t="shared" si="47"/>
        <v>25.38571428571429</v>
      </c>
      <c r="G501" s="16">
        <f t="shared" si="48"/>
        <v>630</v>
      </c>
      <c r="H501" s="17">
        <f t="shared" si="49"/>
        <v>444.25000000000006</v>
      </c>
      <c r="I501" s="7"/>
    </row>
    <row r="502" spans="1:9" s="8" customFormat="1" ht="15">
      <c r="A502" s="6" t="s">
        <v>160</v>
      </c>
      <c r="B502" s="9" t="s">
        <v>8</v>
      </c>
      <c r="C502" s="9" t="s">
        <v>701</v>
      </c>
      <c r="D502" s="9">
        <v>17.77</v>
      </c>
      <c r="E502" s="15">
        <f t="shared" si="46"/>
        <v>14.685950413223141</v>
      </c>
      <c r="F502" s="15">
        <f t="shared" si="47"/>
        <v>25.38571428571429</v>
      </c>
      <c r="G502" s="16">
        <f t="shared" si="48"/>
        <v>630</v>
      </c>
      <c r="H502" s="17">
        <f t="shared" si="49"/>
        <v>444.25000000000006</v>
      </c>
      <c r="I502" s="7"/>
    </row>
    <row r="503" spans="1:9" s="8" customFormat="1" ht="15">
      <c r="A503" s="6" t="s">
        <v>161</v>
      </c>
      <c r="B503" s="9" t="s">
        <v>8</v>
      </c>
      <c r="C503" s="9" t="s">
        <v>702</v>
      </c>
      <c r="D503" s="9">
        <v>17.77</v>
      </c>
      <c r="E503" s="15">
        <f t="shared" si="46"/>
        <v>14.685950413223141</v>
      </c>
      <c r="F503" s="15">
        <f t="shared" si="47"/>
        <v>25.38571428571429</v>
      </c>
      <c r="G503" s="16">
        <f t="shared" si="48"/>
        <v>630</v>
      </c>
      <c r="H503" s="17">
        <f t="shared" si="49"/>
        <v>444.25000000000006</v>
      </c>
      <c r="I503" s="7"/>
    </row>
    <row r="504" spans="1:9" s="8" customFormat="1" ht="15">
      <c r="A504" s="6" t="s">
        <v>162</v>
      </c>
      <c r="B504" s="9" t="s">
        <v>8</v>
      </c>
      <c r="C504" s="9" t="s">
        <v>703</v>
      </c>
      <c r="D504" s="9">
        <v>17.77</v>
      </c>
      <c r="E504" s="15">
        <f t="shared" si="46"/>
        <v>14.685950413223141</v>
      </c>
      <c r="F504" s="15">
        <f t="shared" si="47"/>
        <v>25.38571428571429</v>
      </c>
      <c r="G504" s="16">
        <f t="shared" si="48"/>
        <v>630</v>
      </c>
      <c r="H504" s="17">
        <f t="shared" si="49"/>
        <v>444.25000000000006</v>
      </c>
      <c r="I504" s="7"/>
    </row>
    <row r="505" spans="1:9" s="8" customFormat="1" ht="15">
      <c r="A505" s="6" t="s">
        <v>163</v>
      </c>
      <c r="B505" s="9" t="s">
        <v>8</v>
      </c>
      <c r="C505" s="9" t="s">
        <v>704</v>
      </c>
      <c r="D505" s="9">
        <v>17.77</v>
      </c>
      <c r="E505" s="15">
        <f t="shared" si="46"/>
        <v>14.685950413223141</v>
      </c>
      <c r="F505" s="15">
        <f t="shared" si="47"/>
        <v>25.38571428571429</v>
      </c>
      <c r="G505" s="16">
        <f t="shared" si="48"/>
        <v>630</v>
      </c>
      <c r="H505" s="17">
        <f t="shared" si="49"/>
        <v>444.25000000000006</v>
      </c>
      <c r="I505" s="7"/>
    </row>
    <row r="506" spans="1:9" s="8" customFormat="1" ht="15">
      <c r="A506" s="6" t="s">
        <v>164</v>
      </c>
      <c r="B506" s="9" t="s">
        <v>8</v>
      </c>
      <c r="C506" s="9" t="s">
        <v>705</v>
      </c>
      <c r="D506" s="9">
        <v>25.67</v>
      </c>
      <c r="E506" s="15">
        <f t="shared" si="46"/>
        <v>21.214876033057852</v>
      </c>
      <c r="F506" s="15">
        <f t="shared" si="47"/>
        <v>36.67142857142857</v>
      </c>
      <c r="G506" s="16">
        <f t="shared" si="48"/>
        <v>920</v>
      </c>
      <c r="H506" s="17">
        <f t="shared" si="49"/>
        <v>641.7499999999999</v>
      </c>
      <c r="I506" s="7"/>
    </row>
    <row r="507" spans="1:9" s="8" customFormat="1" ht="15">
      <c r="A507" s="6" t="s">
        <v>165</v>
      </c>
      <c r="B507" s="9" t="s">
        <v>8</v>
      </c>
      <c r="C507" s="9" t="s">
        <v>706</v>
      </c>
      <c r="D507" s="9">
        <v>25.67</v>
      </c>
      <c r="E507" s="15">
        <f t="shared" si="46"/>
        <v>21.214876033057852</v>
      </c>
      <c r="F507" s="15">
        <f t="shared" si="47"/>
        <v>36.67142857142857</v>
      </c>
      <c r="G507" s="16">
        <f t="shared" si="48"/>
        <v>920</v>
      </c>
      <c r="H507" s="17">
        <f t="shared" si="49"/>
        <v>641.7499999999999</v>
      </c>
      <c r="I507" s="7"/>
    </row>
    <row r="508" spans="1:9" s="8" customFormat="1" ht="15">
      <c r="A508" s="7" t="s">
        <v>659</v>
      </c>
      <c r="B508" s="7" t="s">
        <v>8</v>
      </c>
      <c r="C508" s="7" t="s">
        <v>660</v>
      </c>
      <c r="D508" s="7">
        <v>17.77</v>
      </c>
      <c r="E508" s="15">
        <f t="shared" si="46"/>
        <v>14.685950413223141</v>
      </c>
      <c r="F508" s="15">
        <f t="shared" si="47"/>
        <v>25.38571428571429</v>
      </c>
      <c r="G508" s="16">
        <f t="shared" si="48"/>
        <v>630</v>
      </c>
      <c r="H508" s="17">
        <f t="shared" si="49"/>
        <v>444.25000000000006</v>
      </c>
      <c r="I508" s="7"/>
    </row>
    <row r="509" spans="1:9" ht="15">
      <c r="A509" s="6" t="s">
        <v>166</v>
      </c>
      <c r="B509" s="9" t="s">
        <v>8</v>
      </c>
      <c r="C509" s="9" t="s">
        <v>707</v>
      </c>
      <c r="D509" s="9">
        <v>17.77</v>
      </c>
      <c r="E509" s="15">
        <f t="shared" si="46"/>
        <v>14.685950413223141</v>
      </c>
      <c r="F509" s="15">
        <f t="shared" si="47"/>
        <v>25.38571428571429</v>
      </c>
      <c r="G509" s="16">
        <f t="shared" si="48"/>
        <v>630</v>
      </c>
      <c r="H509" s="17">
        <f t="shared" si="49"/>
        <v>444.25000000000006</v>
      </c>
      <c r="I509" s="7"/>
    </row>
    <row r="510" spans="1:9" ht="15">
      <c r="A510" s="6" t="s">
        <v>167</v>
      </c>
      <c r="B510" s="9" t="s">
        <v>27</v>
      </c>
      <c r="C510" s="9" t="s">
        <v>829</v>
      </c>
      <c r="D510" s="9">
        <v>38.51</v>
      </c>
      <c r="E510" s="15">
        <f t="shared" si="46"/>
        <v>31.826446280991735</v>
      </c>
      <c r="F510" s="15">
        <f t="shared" si="47"/>
        <v>55.01428571428572</v>
      </c>
      <c r="G510" s="16">
        <f t="shared" si="48"/>
        <v>1380</v>
      </c>
      <c r="H510" s="17">
        <f t="shared" si="49"/>
        <v>962.75</v>
      </c>
      <c r="I510" s="7"/>
    </row>
    <row r="511" spans="1:9" ht="10.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0.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0.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0.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0.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0.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0.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0.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0.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0.5">
      <c r="A520" s="2"/>
      <c r="B520" s="2"/>
      <c r="C520" s="2"/>
      <c r="D520" s="2"/>
      <c r="E520" s="2"/>
      <c r="F520" s="2"/>
      <c r="G520" s="2"/>
      <c r="H520" s="2"/>
      <c r="I520" s="2"/>
    </row>
  </sheetData>
  <sheetProtection/>
  <autoFilter ref="A2:I510"/>
  <mergeCells count="25">
    <mergeCell ref="F1:F2"/>
    <mergeCell ref="G1:G2"/>
    <mergeCell ref="H1:H2"/>
    <mergeCell ref="D1:D2"/>
    <mergeCell ref="E1:E2"/>
    <mergeCell ref="D317:D318"/>
    <mergeCell ref="E317:E318"/>
    <mergeCell ref="F317:F318"/>
    <mergeCell ref="G317:G318"/>
    <mergeCell ref="H317:H318"/>
    <mergeCell ref="D6:D7"/>
    <mergeCell ref="E6:E7"/>
    <mergeCell ref="F6:F7"/>
    <mergeCell ref="G6:G7"/>
    <mergeCell ref="H6:H7"/>
    <mergeCell ref="D422:D423"/>
    <mergeCell ref="E422:E423"/>
    <mergeCell ref="F422:F423"/>
    <mergeCell ref="G422:G423"/>
    <mergeCell ref="H422:H423"/>
    <mergeCell ref="D71:D72"/>
    <mergeCell ref="E71:E72"/>
    <mergeCell ref="F71:F72"/>
    <mergeCell ref="G71:G72"/>
    <mergeCell ref="H71:H72"/>
  </mergeCells>
  <printOptions verticalCentered="1"/>
  <pageMargins left="0.25" right="0.25" top="0.41805555555555557" bottom="0.4861111111111111" header="0.2916666666666667" footer="0.3"/>
  <pageSetup horizontalDpi="600" verticalDpi="600" orientation="portrait" paperSize="9" scale="70"/>
  <headerFooter alignWithMargins="0">
    <oddFooter>&amp;C&amp;P</oddFooter>
  </headerFooter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EE19" sqref="EE19"/>
    </sheetView>
  </sheetViews>
  <sheetFormatPr defaultColWidth="8.75390625" defaultRowHeight="12.75"/>
  <sheetData>
    <row r="1" spans="1:256" ht="12.75">
      <c r="A1">
        <f>IF(List1!1:1,"AAAAAD+/ewA=",0)</f>
        <v>0</v>
      </c>
      <c r="B1" t="e">
        <f>AND(List1!A1,"AAAAAD+/ewE=")</f>
        <v>#VALUE!</v>
      </c>
      <c r="C1" t="e">
        <f>AND(List1!B1,"AAAAAD+/ewI=")</f>
        <v>#VALUE!</v>
      </c>
      <c r="D1" t="e">
        <f>AND(List1!C1,"AAAAAD+/ewM=")</f>
        <v>#VALUE!</v>
      </c>
      <c r="E1" t="e">
        <f>AND(List1!E1,"AAAAAD+/ewQ=")</f>
        <v>#VALUE!</v>
      </c>
      <c r="F1" t="e">
        <f>AND(List1!F1,"AAAAAD+/ewU=")</f>
        <v>#VALUE!</v>
      </c>
      <c r="G1" t="e">
        <f>AND(List1!G1,"AAAAAD+/ewY=")</f>
        <v>#VALUE!</v>
      </c>
      <c r="H1" t="e">
        <f>AND(List1!H1,"AAAAAD+/ewc=")</f>
        <v>#VALUE!</v>
      </c>
      <c r="I1" t="e">
        <f>AND(List1!I1,"AAAAAD+/ewg=")</f>
        <v>#VALUE!</v>
      </c>
      <c r="J1">
        <f>IF(List1!2:2,"AAAAAD+/ewk=",0)</f>
        <v>0</v>
      </c>
      <c r="K1" t="e">
        <f>AND(List1!A2,"AAAAAD+/ewo=")</f>
        <v>#VALUE!</v>
      </c>
      <c r="L1" t="e">
        <f>AND(List1!B2,"AAAAAD+/ews=")</f>
        <v>#VALUE!</v>
      </c>
      <c r="M1" t="e">
        <f>AND(List1!C2,"AAAAAD+/eww=")</f>
        <v>#VALUE!</v>
      </c>
      <c r="N1" t="e">
        <f>AND(List1!E2,"AAAAAD+/ew0=")</f>
        <v>#VALUE!</v>
      </c>
      <c r="O1" t="e">
        <f>AND(List1!F2,"AAAAAD+/ew4=")</f>
        <v>#VALUE!</v>
      </c>
      <c r="P1" t="e">
        <f>AND(List1!G2,"AAAAAD+/ew8=")</f>
        <v>#VALUE!</v>
      </c>
      <c r="Q1" t="e">
        <f>AND(List1!H2,"AAAAAD+/exA=")</f>
        <v>#VALUE!</v>
      </c>
      <c r="R1" t="e">
        <f>AND(List1!I2,"AAAAAD+/exE=")</f>
        <v>#VALUE!</v>
      </c>
      <c r="S1">
        <f>IF(List1!3:3,"AAAAAD+/exI=",0)</f>
        <v>0</v>
      </c>
      <c r="T1" t="e">
        <f>AND(List1!A3,"AAAAAD+/exM=")</f>
        <v>#VALUE!</v>
      </c>
      <c r="U1" t="e">
        <f>AND(List1!B3,"AAAAAD+/exQ=")</f>
        <v>#VALUE!</v>
      </c>
      <c r="V1" t="e">
        <f>AND(List1!C3,"AAAAAD+/exU=")</f>
        <v>#VALUE!</v>
      </c>
      <c r="W1" t="e">
        <f>AND(List1!E3,"AAAAAD+/exY=")</f>
        <v>#VALUE!</v>
      </c>
      <c r="X1" t="e">
        <f>AND(List1!F3,"AAAAAD+/exc=")</f>
        <v>#VALUE!</v>
      </c>
      <c r="Y1" t="e">
        <f>AND(List1!G3,"AAAAAD+/exg=")</f>
        <v>#VALUE!</v>
      </c>
      <c r="Z1" t="e">
        <f>AND(List1!H3,"AAAAAD+/exk=")</f>
        <v>#VALUE!</v>
      </c>
      <c r="AA1" t="e">
        <f>AND(List1!I3,"AAAAAD+/exo=")</f>
        <v>#VALUE!</v>
      </c>
      <c r="AB1">
        <f>IF(List1!4:4,"AAAAAD+/exs=",0)</f>
        <v>0</v>
      </c>
      <c r="AC1" t="e">
        <f>AND(List1!A4,"AAAAAD+/exw=")</f>
        <v>#VALUE!</v>
      </c>
      <c r="AD1" t="e">
        <f>AND(List1!B4,"AAAAAD+/ex0=")</f>
        <v>#VALUE!</v>
      </c>
      <c r="AE1" t="e">
        <f>AND(List1!C4,"AAAAAD+/ex4=")</f>
        <v>#VALUE!</v>
      </c>
      <c r="AF1" t="e">
        <f>AND(List1!E4,"AAAAAD+/ex8=")</f>
        <v>#VALUE!</v>
      </c>
      <c r="AG1" t="e">
        <f>AND(List1!F4,"AAAAAD+/eyA=")</f>
        <v>#VALUE!</v>
      </c>
      <c r="AH1" t="e">
        <f>AND(List1!G4,"AAAAAD+/eyE=")</f>
        <v>#VALUE!</v>
      </c>
      <c r="AI1" t="e">
        <f>AND(List1!H4,"AAAAAD+/eyI=")</f>
        <v>#VALUE!</v>
      </c>
      <c r="AJ1" t="e">
        <f>AND(List1!I4,"AAAAAD+/eyM=")</f>
        <v>#VALUE!</v>
      </c>
      <c r="AK1">
        <f>IF(List1!5:5,"AAAAAD+/eyQ=",0)</f>
        <v>0</v>
      </c>
      <c r="AL1" t="e">
        <f>AND(List1!A5,"AAAAAD+/eyU=")</f>
        <v>#VALUE!</v>
      </c>
      <c r="AM1" t="e">
        <f>AND(List1!B5,"AAAAAD+/eyY=")</f>
        <v>#VALUE!</v>
      </c>
      <c r="AN1" t="e">
        <f>AND(List1!C5,"AAAAAD+/eyc=")</f>
        <v>#VALUE!</v>
      </c>
      <c r="AO1" t="e">
        <f>AND(List1!E5,"AAAAAD+/eyg=")</f>
        <v>#VALUE!</v>
      </c>
      <c r="AP1" t="e">
        <f>AND(List1!F5,"AAAAAD+/eyk=")</f>
        <v>#VALUE!</v>
      </c>
      <c r="AQ1" t="e">
        <f>AND(List1!G5,"AAAAAD+/eyo=")</f>
        <v>#VALUE!</v>
      </c>
      <c r="AR1" t="e">
        <f>AND(List1!H5,"AAAAAD+/eys=")</f>
        <v>#VALUE!</v>
      </c>
      <c r="AS1" t="e">
        <f>AND(List1!I5,"AAAAAD+/eyw=")</f>
        <v>#VALUE!</v>
      </c>
      <c r="AT1">
        <f>IF(List1!8:8,"AAAAAD+/ey0=",0)</f>
        <v>0</v>
      </c>
      <c r="AU1" t="e">
        <f>AND(List1!A8,"AAAAAD+/ey4=")</f>
        <v>#VALUE!</v>
      </c>
      <c r="AV1" t="e">
        <f>AND(List1!B8,"AAAAAD+/ey8=")</f>
        <v>#VALUE!</v>
      </c>
      <c r="AW1" t="e">
        <f>AND(List1!C8,"AAAAAD+/ezA=")</f>
        <v>#VALUE!</v>
      </c>
      <c r="AX1" t="e">
        <f>AND(List1!E8,"AAAAAD+/ezE=")</f>
        <v>#VALUE!</v>
      </c>
      <c r="AY1" t="e">
        <f>AND(List1!F8,"AAAAAD+/ezI=")</f>
        <v>#VALUE!</v>
      </c>
      <c r="AZ1" t="e">
        <f>AND(List1!G8,"AAAAAD+/ezM=")</f>
        <v>#VALUE!</v>
      </c>
      <c r="BA1" t="e">
        <f>AND(List1!H8,"AAAAAD+/ezQ=")</f>
        <v>#VALUE!</v>
      </c>
      <c r="BB1" t="e">
        <f>AND(List1!I8,"AAAAAD+/ezU=")</f>
        <v>#VALUE!</v>
      </c>
      <c r="BC1">
        <f>IF(List1!9:9,"AAAAAD+/ezY=",0)</f>
        <v>0</v>
      </c>
      <c r="BD1" t="e">
        <f>AND(List1!A9,"AAAAAD+/ezc=")</f>
        <v>#VALUE!</v>
      </c>
      <c r="BE1" t="e">
        <f>AND(List1!B9,"AAAAAD+/ezg=")</f>
        <v>#VALUE!</v>
      </c>
      <c r="BF1" t="e">
        <f>AND(List1!C9,"AAAAAD+/ezk=")</f>
        <v>#VALUE!</v>
      </c>
      <c r="BG1" t="e">
        <f>AND(List1!E9,"AAAAAD+/ezo=")</f>
        <v>#VALUE!</v>
      </c>
      <c r="BH1" t="e">
        <f>AND(List1!F9,"AAAAAD+/ezs=")</f>
        <v>#VALUE!</v>
      </c>
      <c r="BI1" t="e">
        <f>AND(List1!G9,"AAAAAD+/ezw=")</f>
        <v>#VALUE!</v>
      </c>
      <c r="BJ1" t="e">
        <f>AND(List1!H9,"AAAAAD+/ez0=")</f>
        <v>#VALUE!</v>
      </c>
      <c r="BK1" t="e">
        <f>AND(List1!I9,"AAAAAD+/ez4=")</f>
        <v>#VALUE!</v>
      </c>
      <c r="BL1">
        <f>IF(List1!10:10,"AAAAAD+/ez8=",0)</f>
        <v>0</v>
      </c>
      <c r="BM1" t="e">
        <f>AND(List1!A10,"AAAAAD+/e0A=")</f>
        <v>#VALUE!</v>
      </c>
      <c r="BN1" t="e">
        <f>AND(List1!B10,"AAAAAD+/e0E=")</f>
        <v>#VALUE!</v>
      </c>
      <c r="BO1" t="e">
        <f>AND(List1!C10,"AAAAAD+/e0I=")</f>
        <v>#VALUE!</v>
      </c>
      <c r="BP1" t="e">
        <f>AND(List1!E10,"AAAAAD+/e0M=")</f>
        <v>#VALUE!</v>
      </c>
      <c r="BQ1" t="e">
        <f>AND(List1!F10,"AAAAAD+/e0Q=")</f>
        <v>#VALUE!</v>
      </c>
      <c r="BR1" t="e">
        <f>AND(List1!G10,"AAAAAD+/e0U=")</f>
        <v>#VALUE!</v>
      </c>
      <c r="BS1" t="e">
        <f>AND(List1!H10,"AAAAAD+/e0Y=")</f>
        <v>#VALUE!</v>
      </c>
      <c r="BT1" t="e">
        <f>AND(List1!I10,"AAAAAD+/e0c=")</f>
        <v>#VALUE!</v>
      </c>
      <c r="BU1">
        <f>IF(List1!11:11,"AAAAAD+/e0g=",0)</f>
        <v>0</v>
      </c>
      <c r="BV1" t="e">
        <f>AND(List1!A11,"AAAAAD+/e0k=")</f>
        <v>#VALUE!</v>
      </c>
      <c r="BW1" t="e">
        <f>AND(List1!B11,"AAAAAD+/e0o=")</f>
        <v>#VALUE!</v>
      </c>
      <c r="BX1" t="e">
        <f>AND(List1!C11,"AAAAAD+/e0s=")</f>
        <v>#VALUE!</v>
      </c>
      <c r="BY1" t="e">
        <f>AND(List1!E11,"AAAAAD+/e0w=")</f>
        <v>#VALUE!</v>
      </c>
      <c r="BZ1" t="e">
        <f>AND(List1!F11,"AAAAAD+/e00=")</f>
        <v>#VALUE!</v>
      </c>
      <c r="CA1" t="e">
        <f>AND(List1!G11,"AAAAAD+/e04=")</f>
        <v>#VALUE!</v>
      </c>
      <c r="CB1" t="e">
        <f>AND(List1!H11,"AAAAAD+/e08=")</f>
        <v>#VALUE!</v>
      </c>
      <c r="CC1" t="e">
        <f>AND(List1!I11,"AAAAAD+/e1A=")</f>
        <v>#VALUE!</v>
      </c>
      <c r="CD1">
        <f>IF(List1!12:12,"AAAAAD+/e1E=",0)</f>
        <v>0</v>
      </c>
      <c r="CE1" t="e">
        <f>AND(List1!A12,"AAAAAD+/e1I=")</f>
        <v>#VALUE!</v>
      </c>
      <c r="CF1" t="e">
        <f>AND(List1!B12,"AAAAAD+/e1M=")</f>
        <v>#VALUE!</v>
      </c>
      <c r="CG1" t="e">
        <f>AND(List1!C12,"AAAAAD+/e1Q=")</f>
        <v>#VALUE!</v>
      </c>
      <c r="CH1" t="e">
        <f>AND(List1!E12,"AAAAAD+/e1U=")</f>
        <v>#VALUE!</v>
      </c>
      <c r="CI1" t="e">
        <f>AND(List1!F12,"AAAAAD+/e1Y=")</f>
        <v>#VALUE!</v>
      </c>
      <c r="CJ1" t="e">
        <f>AND(List1!G12,"AAAAAD+/e1c=")</f>
        <v>#VALUE!</v>
      </c>
      <c r="CK1" t="e">
        <f>AND(List1!H12,"AAAAAD+/e1g=")</f>
        <v>#VALUE!</v>
      </c>
      <c r="CL1" t="e">
        <f>AND(List1!I12,"AAAAAD+/e1k=")</f>
        <v>#VALUE!</v>
      </c>
      <c r="CM1">
        <f>IF(List1!13:13,"AAAAAD+/e1o=",0)</f>
        <v>0</v>
      </c>
      <c r="CN1" t="e">
        <f>AND(List1!A13,"AAAAAD+/e1s=")</f>
        <v>#VALUE!</v>
      </c>
      <c r="CO1" t="e">
        <f>AND(List1!B13,"AAAAAD+/e1w=")</f>
        <v>#VALUE!</v>
      </c>
      <c r="CP1" t="e">
        <f>AND(List1!C13,"AAAAAD+/e10=")</f>
        <v>#VALUE!</v>
      </c>
      <c r="CQ1" t="e">
        <f>AND(List1!E13,"AAAAAD+/e14=")</f>
        <v>#VALUE!</v>
      </c>
      <c r="CR1" t="e">
        <f>AND(List1!F13,"AAAAAD+/e18=")</f>
        <v>#VALUE!</v>
      </c>
      <c r="CS1" t="e">
        <f>AND(List1!G13,"AAAAAD+/e2A=")</f>
        <v>#VALUE!</v>
      </c>
      <c r="CT1" t="e">
        <f>AND(List1!H13,"AAAAAD+/e2E=")</f>
        <v>#VALUE!</v>
      </c>
      <c r="CU1" t="e">
        <f>AND(List1!I13,"AAAAAD+/e2I=")</f>
        <v>#VALUE!</v>
      </c>
      <c r="CV1">
        <f>IF(List1!14:14,"AAAAAD+/e2M=",0)</f>
        <v>0</v>
      </c>
      <c r="CW1" t="e">
        <f>AND(List1!A14,"AAAAAD+/e2Q=")</f>
        <v>#VALUE!</v>
      </c>
      <c r="CX1" t="e">
        <f>AND(List1!B14,"AAAAAD+/e2U=")</f>
        <v>#VALUE!</v>
      </c>
      <c r="CY1" t="e">
        <f>AND(List1!C14,"AAAAAD+/e2Y=")</f>
        <v>#VALUE!</v>
      </c>
      <c r="CZ1" t="e">
        <f>AND(List1!E14,"AAAAAD+/e2c=")</f>
        <v>#VALUE!</v>
      </c>
      <c r="DA1" t="e">
        <f>AND(List1!F14,"AAAAAD+/e2g=")</f>
        <v>#VALUE!</v>
      </c>
      <c r="DB1" t="e">
        <f>AND(List1!G14,"AAAAAD+/e2k=")</f>
        <v>#VALUE!</v>
      </c>
      <c r="DC1" t="e">
        <f>AND(List1!H14,"AAAAAD+/e2o=")</f>
        <v>#VALUE!</v>
      </c>
      <c r="DD1" t="e">
        <f>AND(List1!I14,"AAAAAD+/e2s=")</f>
        <v>#VALUE!</v>
      </c>
      <c r="DE1">
        <f>IF(List1!15:15,"AAAAAD+/e2w=",0)</f>
        <v>0</v>
      </c>
      <c r="DF1" t="e">
        <f>AND(List1!A15,"AAAAAD+/e20=")</f>
        <v>#VALUE!</v>
      </c>
      <c r="DG1" t="e">
        <f>AND(List1!B15,"AAAAAD+/e24=")</f>
        <v>#VALUE!</v>
      </c>
      <c r="DH1" t="e">
        <f>AND(List1!C15,"AAAAAD+/e28=")</f>
        <v>#VALUE!</v>
      </c>
      <c r="DI1" t="e">
        <f>AND(List1!E15,"AAAAAD+/e3A=")</f>
        <v>#VALUE!</v>
      </c>
      <c r="DJ1" t="e">
        <f>AND(List1!F15,"AAAAAD+/e3E=")</f>
        <v>#VALUE!</v>
      </c>
      <c r="DK1" t="e">
        <f>AND(List1!G15,"AAAAAD+/e3I=")</f>
        <v>#VALUE!</v>
      </c>
      <c r="DL1" t="e">
        <f>AND(List1!H15,"AAAAAD+/e3M=")</f>
        <v>#VALUE!</v>
      </c>
      <c r="DM1" t="e">
        <f>AND(List1!I15,"AAAAAD+/e3Q=")</f>
        <v>#VALUE!</v>
      </c>
      <c r="DN1">
        <f>IF(List1!16:16,"AAAAAD+/e3U=",0)</f>
        <v>0</v>
      </c>
      <c r="DO1" t="e">
        <f>AND(List1!A16,"AAAAAD+/e3Y=")</f>
        <v>#VALUE!</v>
      </c>
      <c r="DP1" t="e">
        <f>AND(List1!B16,"AAAAAD+/e3c=")</f>
        <v>#VALUE!</v>
      </c>
      <c r="DQ1" t="e">
        <f>AND(List1!C16,"AAAAAD+/e3g=")</f>
        <v>#VALUE!</v>
      </c>
      <c r="DR1" t="e">
        <f>AND(List1!E16,"AAAAAD+/e3k=")</f>
        <v>#VALUE!</v>
      </c>
      <c r="DS1" t="e">
        <f>AND(List1!F16,"AAAAAD+/e3o=")</f>
        <v>#VALUE!</v>
      </c>
      <c r="DT1" t="e">
        <f>AND(List1!G16,"AAAAAD+/e3s=")</f>
        <v>#VALUE!</v>
      </c>
      <c r="DU1" t="e">
        <f>AND(List1!H16,"AAAAAD+/e3w=")</f>
        <v>#VALUE!</v>
      </c>
      <c r="DV1" t="e">
        <f>AND(List1!I16,"AAAAAD+/e30=")</f>
        <v>#VALUE!</v>
      </c>
      <c r="DW1">
        <f>IF(List1!17:17,"AAAAAD+/e34=",0)</f>
        <v>0</v>
      </c>
      <c r="DX1" t="e">
        <f>AND(List1!A17,"AAAAAD+/e38=")</f>
        <v>#VALUE!</v>
      </c>
      <c r="DY1" t="e">
        <f>AND(List1!B17,"AAAAAD+/e4A=")</f>
        <v>#VALUE!</v>
      </c>
      <c r="DZ1" t="e">
        <f>AND(List1!C17,"AAAAAD+/e4E=")</f>
        <v>#VALUE!</v>
      </c>
      <c r="EA1" t="e">
        <f>AND(List1!E17,"AAAAAD+/e4I=")</f>
        <v>#VALUE!</v>
      </c>
      <c r="EB1" t="e">
        <f>AND(List1!F17,"AAAAAD+/e4M=")</f>
        <v>#VALUE!</v>
      </c>
      <c r="EC1" t="e">
        <f>AND(List1!G17,"AAAAAD+/e4Q=")</f>
        <v>#VALUE!</v>
      </c>
      <c r="ED1" t="e">
        <f>AND(List1!H17,"AAAAAD+/e4U=")</f>
        <v>#VALUE!</v>
      </c>
      <c r="EE1" t="e">
        <f>AND(List1!I17,"AAAAAD+/e4Y=")</f>
        <v>#VALUE!</v>
      </c>
      <c r="EF1">
        <f>IF(List1!18:18,"AAAAAD+/e4c=",0)</f>
        <v>0</v>
      </c>
      <c r="EG1" t="e">
        <f>AND(List1!A18,"AAAAAD+/e4g=")</f>
        <v>#VALUE!</v>
      </c>
      <c r="EH1" t="e">
        <f>AND(List1!B18,"AAAAAD+/e4k=")</f>
        <v>#VALUE!</v>
      </c>
      <c r="EI1" t="e">
        <f>AND(List1!C18,"AAAAAD+/e4o=")</f>
        <v>#VALUE!</v>
      </c>
      <c r="EJ1" t="e">
        <f>AND(List1!E18,"AAAAAD+/e4s=")</f>
        <v>#VALUE!</v>
      </c>
      <c r="EK1" t="e">
        <f>AND(List1!F18,"AAAAAD+/e4w=")</f>
        <v>#VALUE!</v>
      </c>
      <c r="EL1" t="e">
        <f>AND(List1!G18,"AAAAAD+/e40=")</f>
        <v>#VALUE!</v>
      </c>
      <c r="EM1" t="e">
        <f>AND(List1!H18,"AAAAAD+/e44=")</f>
        <v>#VALUE!</v>
      </c>
      <c r="EN1" t="e">
        <f>AND(List1!I18,"AAAAAD+/e48=")</f>
        <v>#VALUE!</v>
      </c>
      <c r="EO1">
        <f>IF(List1!19:19,"AAAAAD+/e5A=",0)</f>
        <v>0</v>
      </c>
      <c r="EP1" t="e">
        <f>AND(List1!A19,"AAAAAD+/e5E=")</f>
        <v>#VALUE!</v>
      </c>
      <c r="EQ1" t="e">
        <f>AND(List1!B19,"AAAAAD+/e5I=")</f>
        <v>#VALUE!</v>
      </c>
      <c r="ER1" t="e">
        <f>AND(List1!C19,"AAAAAD+/e5M=")</f>
        <v>#VALUE!</v>
      </c>
      <c r="ES1" t="e">
        <f>AND(List1!E19,"AAAAAD+/e5Q=")</f>
        <v>#VALUE!</v>
      </c>
      <c r="ET1" t="e">
        <f>AND(List1!F19,"AAAAAD+/e5U=")</f>
        <v>#VALUE!</v>
      </c>
      <c r="EU1" t="e">
        <f>AND(List1!G19,"AAAAAD+/e5Y=")</f>
        <v>#VALUE!</v>
      </c>
      <c r="EV1" t="e">
        <f>AND(List1!H19,"AAAAAD+/e5c=")</f>
        <v>#VALUE!</v>
      </c>
      <c r="EW1" t="e">
        <f>AND(List1!I19,"AAAAAD+/e5g=")</f>
        <v>#VALUE!</v>
      </c>
      <c r="EX1">
        <f>IF(List1!20:20,"AAAAAD+/e5k=",0)</f>
        <v>0</v>
      </c>
      <c r="EY1" t="e">
        <f>AND(List1!A20,"AAAAAD+/e5o=")</f>
        <v>#VALUE!</v>
      </c>
      <c r="EZ1" t="e">
        <f>AND(List1!B20,"AAAAAD+/e5s=")</f>
        <v>#VALUE!</v>
      </c>
      <c r="FA1" t="e">
        <f>AND(List1!C20,"AAAAAD+/e5w=")</f>
        <v>#VALUE!</v>
      </c>
      <c r="FB1" t="e">
        <f>AND(List1!E20,"AAAAAD+/e50=")</f>
        <v>#VALUE!</v>
      </c>
      <c r="FC1" t="e">
        <f>AND(List1!F20,"AAAAAD+/e54=")</f>
        <v>#VALUE!</v>
      </c>
      <c r="FD1" t="e">
        <f>AND(List1!G20,"AAAAAD+/e58=")</f>
        <v>#VALUE!</v>
      </c>
      <c r="FE1" t="e">
        <f>AND(List1!H20,"AAAAAD+/e6A=")</f>
        <v>#VALUE!</v>
      </c>
      <c r="FF1" t="e">
        <f>AND(List1!I20,"AAAAAD+/e6E=")</f>
        <v>#VALUE!</v>
      </c>
      <c r="FG1">
        <f>IF(List1!21:21,"AAAAAD+/e6I=",0)</f>
        <v>0</v>
      </c>
      <c r="FH1" t="e">
        <f>AND(List1!A21,"AAAAAD+/e6M=")</f>
        <v>#VALUE!</v>
      </c>
      <c r="FI1" t="e">
        <f>AND(List1!B21,"AAAAAD+/e6Q=")</f>
        <v>#VALUE!</v>
      </c>
      <c r="FJ1" t="e">
        <f>AND(List1!C21,"AAAAAD+/e6U=")</f>
        <v>#VALUE!</v>
      </c>
      <c r="FK1" t="e">
        <f>AND(List1!E21,"AAAAAD+/e6Y=")</f>
        <v>#VALUE!</v>
      </c>
      <c r="FL1" t="e">
        <f>AND(List1!F21,"AAAAAD+/e6c=")</f>
        <v>#VALUE!</v>
      </c>
      <c r="FM1" t="e">
        <f>AND(List1!G21,"AAAAAD+/e6g=")</f>
        <v>#VALUE!</v>
      </c>
      <c r="FN1" t="e">
        <f>AND(List1!H21,"AAAAAD+/e6k=")</f>
        <v>#VALUE!</v>
      </c>
      <c r="FO1" t="e">
        <f>AND(List1!I21,"AAAAAD+/e6o=")</f>
        <v>#VALUE!</v>
      </c>
      <c r="FP1">
        <f>IF(List1!22:22,"AAAAAD+/e6s=",0)</f>
        <v>0</v>
      </c>
      <c r="FQ1" t="e">
        <f>AND(List1!A22,"AAAAAD+/e6w=")</f>
        <v>#VALUE!</v>
      </c>
      <c r="FR1" t="e">
        <f>AND(List1!B22,"AAAAAD+/e60=")</f>
        <v>#VALUE!</v>
      </c>
      <c r="FS1" t="e">
        <f>AND(List1!C22,"AAAAAD+/e64=")</f>
        <v>#VALUE!</v>
      </c>
      <c r="FT1" t="e">
        <f>AND(List1!E22,"AAAAAD+/e68=")</f>
        <v>#VALUE!</v>
      </c>
      <c r="FU1" t="e">
        <f>AND(List1!F22,"AAAAAD+/e7A=")</f>
        <v>#VALUE!</v>
      </c>
      <c r="FV1" t="e">
        <f>AND(List1!G22,"AAAAAD+/e7E=")</f>
        <v>#VALUE!</v>
      </c>
      <c r="FW1" t="e">
        <f>AND(List1!H22,"AAAAAD+/e7I=")</f>
        <v>#VALUE!</v>
      </c>
      <c r="FX1" t="e">
        <f>AND(List1!I22,"AAAAAD+/e7M=")</f>
        <v>#VALUE!</v>
      </c>
      <c r="FY1">
        <f>IF(List1!23:23,"AAAAAD+/e7Q=",0)</f>
        <v>0</v>
      </c>
      <c r="FZ1" t="e">
        <f>AND(List1!A23,"AAAAAD+/e7U=")</f>
        <v>#VALUE!</v>
      </c>
      <c r="GA1" t="e">
        <f>AND(List1!B23,"AAAAAD+/e7Y=")</f>
        <v>#VALUE!</v>
      </c>
      <c r="GB1" t="e">
        <f>AND(List1!C23,"AAAAAD+/e7c=")</f>
        <v>#VALUE!</v>
      </c>
      <c r="GC1" t="e">
        <f>AND(List1!E23,"AAAAAD+/e7g=")</f>
        <v>#VALUE!</v>
      </c>
      <c r="GD1" t="e">
        <f>AND(List1!F23,"AAAAAD+/e7k=")</f>
        <v>#VALUE!</v>
      </c>
      <c r="GE1" t="e">
        <f>AND(List1!G23,"AAAAAD+/e7o=")</f>
        <v>#VALUE!</v>
      </c>
      <c r="GF1" t="e">
        <f>AND(List1!H23,"AAAAAD+/e7s=")</f>
        <v>#VALUE!</v>
      </c>
      <c r="GG1" t="e">
        <f>AND(List1!I23,"AAAAAD+/e7w=")</f>
        <v>#VALUE!</v>
      </c>
      <c r="GH1">
        <f>IF(List1!24:24,"AAAAAD+/e70=",0)</f>
        <v>0</v>
      </c>
      <c r="GI1" t="e">
        <f>AND(List1!A24,"AAAAAD+/e74=")</f>
        <v>#VALUE!</v>
      </c>
      <c r="GJ1" t="e">
        <f>AND(List1!B24,"AAAAAD+/e78=")</f>
        <v>#VALUE!</v>
      </c>
      <c r="GK1" t="e">
        <f>AND(List1!C24,"AAAAAD+/e8A=")</f>
        <v>#VALUE!</v>
      </c>
      <c r="GL1" t="e">
        <f>AND(List1!E24,"AAAAAD+/e8E=")</f>
        <v>#VALUE!</v>
      </c>
      <c r="GM1" t="e">
        <f>AND(List1!F24,"AAAAAD+/e8I=")</f>
        <v>#VALUE!</v>
      </c>
      <c r="GN1" t="e">
        <f>AND(List1!G24,"AAAAAD+/e8M=")</f>
        <v>#VALUE!</v>
      </c>
      <c r="GO1" t="e">
        <f>AND(List1!H24,"AAAAAD+/e8Q=")</f>
        <v>#VALUE!</v>
      </c>
      <c r="GP1" t="e">
        <f>AND(List1!I24,"AAAAAD+/e8U=")</f>
        <v>#VALUE!</v>
      </c>
      <c r="GQ1">
        <f>IF(List1!25:25,"AAAAAD+/e8Y=",0)</f>
        <v>0</v>
      </c>
      <c r="GR1" t="e">
        <f>AND(List1!A25,"AAAAAD+/e8c=")</f>
        <v>#VALUE!</v>
      </c>
      <c r="GS1" t="e">
        <f>AND(List1!B25,"AAAAAD+/e8g=")</f>
        <v>#VALUE!</v>
      </c>
      <c r="GT1" t="e">
        <f>AND(List1!C25,"AAAAAD+/e8k=")</f>
        <v>#VALUE!</v>
      </c>
      <c r="GU1" t="e">
        <f>AND(List1!E25,"AAAAAD+/e8o=")</f>
        <v>#VALUE!</v>
      </c>
      <c r="GV1" t="e">
        <f>AND(List1!F25,"AAAAAD+/e8s=")</f>
        <v>#VALUE!</v>
      </c>
      <c r="GW1" t="e">
        <f>AND(List1!G25,"AAAAAD+/e8w=")</f>
        <v>#VALUE!</v>
      </c>
      <c r="GX1" t="e">
        <f>AND(List1!H25,"AAAAAD+/e80=")</f>
        <v>#VALUE!</v>
      </c>
      <c r="GY1" t="e">
        <f>AND(List1!I25,"AAAAAD+/e84=")</f>
        <v>#VALUE!</v>
      </c>
      <c r="GZ1">
        <f>IF(List1!26:26,"AAAAAD+/e88=",0)</f>
        <v>0</v>
      </c>
      <c r="HA1" t="e">
        <f>AND(List1!A26,"AAAAAD+/e9A=")</f>
        <v>#VALUE!</v>
      </c>
      <c r="HB1" t="e">
        <f>AND(List1!B26,"AAAAAD+/e9E=")</f>
        <v>#VALUE!</v>
      </c>
      <c r="HC1" t="e">
        <f>AND(List1!C26,"AAAAAD+/e9I=")</f>
        <v>#VALUE!</v>
      </c>
      <c r="HD1" t="e">
        <f>AND(List1!E26,"AAAAAD+/e9M=")</f>
        <v>#VALUE!</v>
      </c>
      <c r="HE1" t="e">
        <f>AND(List1!F26,"AAAAAD+/e9Q=")</f>
        <v>#VALUE!</v>
      </c>
      <c r="HF1" t="e">
        <f>AND(List1!G26,"AAAAAD+/e9U=")</f>
        <v>#VALUE!</v>
      </c>
      <c r="HG1" t="e">
        <f>AND(List1!H26,"AAAAAD+/e9Y=")</f>
        <v>#VALUE!</v>
      </c>
      <c r="HH1" t="e">
        <f>AND(List1!I26,"AAAAAD+/e9c=")</f>
        <v>#VALUE!</v>
      </c>
      <c r="HI1">
        <f>IF(List1!27:27,"AAAAAD+/e9g=",0)</f>
        <v>0</v>
      </c>
      <c r="HJ1" t="e">
        <f>AND(List1!A27,"AAAAAD+/e9k=")</f>
        <v>#VALUE!</v>
      </c>
      <c r="HK1" t="e">
        <f>AND(List1!B27,"AAAAAD+/e9o=")</f>
        <v>#VALUE!</v>
      </c>
      <c r="HL1" t="e">
        <f>AND(List1!C27,"AAAAAD+/e9s=")</f>
        <v>#VALUE!</v>
      </c>
      <c r="HM1" t="e">
        <f>AND(List1!E27,"AAAAAD+/e9w=")</f>
        <v>#VALUE!</v>
      </c>
      <c r="HN1" t="e">
        <f>AND(List1!F27,"AAAAAD+/e90=")</f>
        <v>#VALUE!</v>
      </c>
      <c r="HO1" t="e">
        <f>AND(List1!G27,"AAAAAD+/e94=")</f>
        <v>#VALUE!</v>
      </c>
      <c r="HP1" t="e">
        <f>AND(List1!H27,"AAAAAD+/e98=")</f>
        <v>#VALUE!</v>
      </c>
      <c r="HQ1" t="e">
        <f>AND(List1!I27,"AAAAAD+/e+A=")</f>
        <v>#VALUE!</v>
      </c>
      <c r="HR1">
        <f>IF(List1!28:28,"AAAAAD+/e+E=",0)</f>
        <v>0</v>
      </c>
      <c r="HS1" t="e">
        <f>AND(List1!A28,"AAAAAD+/e+I=")</f>
        <v>#VALUE!</v>
      </c>
      <c r="HT1" t="e">
        <f>AND(List1!B28,"AAAAAD+/e+M=")</f>
        <v>#VALUE!</v>
      </c>
      <c r="HU1" t="e">
        <f>AND(List1!C28,"AAAAAD+/e+Q=")</f>
        <v>#VALUE!</v>
      </c>
      <c r="HV1" t="e">
        <f>AND(List1!E28,"AAAAAD+/e+U=")</f>
        <v>#VALUE!</v>
      </c>
      <c r="HW1" t="e">
        <f>AND(List1!F28,"AAAAAD+/e+Y=")</f>
        <v>#VALUE!</v>
      </c>
      <c r="HX1" t="e">
        <f>AND(List1!G28,"AAAAAD+/e+c=")</f>
        <v>#VALUE!</v>
      </c>
      <c r="HY1" t="e">
        <f>AND(List1!H28,"AAAAAD+/e+g=")</f>
        <v>#VALUE!</v>
      </c>
      <c r="HZ1" t="e">
        <f>AND(List1!I28,"AAAAAD+/e+k=")</f>
        <v>#VALUE!</v>
      </c>
      <c r="IA1">
        <f>IF(List1!29:29,"AAAAAD+/e+o=",0)</f>
        <v>0</v>
      </c>
      <c r="IB1" t="e">
        <f>AND(List1!A29,"AAAAAD+/e+s=")</f>
        <v>#VALUE!</v>
      </c>
      <c r="IC1" t="e">
        <f>AND(List1!B29,"AAAAAD+/e+w=")</f>
        <v>#VALUE!</v>
      </c>
      <c r="ID1" t="e">
        <f>AND(List1!C29,"AAAAAD+/e+0=")</f>
        <v>#VALUE!</v>
      </c>
      <c r="IE1" t="e">
        <f>AND(List1!E29,"AAAAAD+/e+4=")</f>
        <v>#VALUE!</v>
      </c>
      <c r="IF1" t="e">
        <f>AND(List1!F29,"AAAAAD+/e+8=")</f>
        <v>#VALUE!</v>
      </c>
      <c r="IG1" t="e">
        <f>AND(List1!G29,"AAAAAD+/e/A=")</f>
        <v>#VALUE!</v>
      </c>
      <c r="IH1" t="e">
        <f>AND(List1!H29,"AAAAAD+/e/E=")</f>
        <v>#VALUE!</v>
      </c>
      <c r="II1" t="e">
        <f>AND(List1!I29,"AAAAAD+/e/I=")</f>
        <v>#VALUE!</v>
      </c>
      <c r="IJ1">
        <f>IF(List1!30:30,"AAAAAD+/e/M=",0)</f>
        <v>0</v>
      </c>
      <c r="IK1" t="e">
        <f>AND(List1!A30,"AAAAAD+/e/Q=")</f>
        <v>#VALUE!</v>
      </c>
      <c r="IL1" t="e">
        <f>AND(List1!B30,"AAAAAD+/e/U=")</f>
        <v>#VALUE!</v>
      </c>
      <c r="IM1" t="e">
        <f>AND(List1!C30,"AAAAAD+/e/Y=")</f>
        <v>#VALUE!</v>
      </c>
      <c r="IN1" t="e">
        <f>AND(List1!E30,"AAAAAD+/e/c=")</f>
        <v>#VALUE!</v>
      </c>
      <c r="IO1" t="e">
        <f>AND(List1!F30,"AAAAAD+/e/g=")</f>
        <v>#VALUE!</v>
      </c>
      <c r="IP1" t="e">
        <f>AND(List1!G30,"AAAAAD+/e/k=")</f>
        <v>#VALUE!</v>
      </c>
      <c r="IQ1" t="e">
        <f>AND(List1!H30,"AAAAAD+/e/o=")</f>
        <v>#VALUE!</v>
      </c>
      <c r="IR1" t="e">
        <f>AND(List1!I30,"AAAAAD+/e/s=")</f>
        <v>#VALUE!</v>
      </c>
      <c r="IS1">
        <f>IF(List1!31:31,"AAAAAD+/e/w=",0)</f>
        <v>0</v>
      </c>
      <c r="IT1" t="e">
        <f>AND(List1!A31,"AAAAAD+/e/0=")</f>
        <v>#VALUE!</v>
      </c>
      <c r="IU1" t="e">
        <f>AND(List1!B31,"AAAAAD+/e/4=")</f>
        <v>#VALUE!</v>
      </c>
      <c r="IV1" t="e">
        <f>AND(List1!C31,"AAAAAD+/e/8=")</f>
        <v>#VALUE!</v>
      </c>
    </row>
    <row r="2" spans="1:256" ht="12.75">
      <c r="A2" t="e">
        <f>AND(List1!E31,"AAAAAFvz/wA=")</f>
        <v>#VALUE!</v>
      </c>
      <c r="B2" t="e">
        <f>AND(List1!F31,"AAAAAFvz/wE=")</f>
        <v>#VALUE!</v>
      </c>
      <c r="C2" t="e">
        <f>AND(List1!G31,"AAAAAFvz/wI=")</f>
        <v>#VALUE!</v>
      </c>
      <c r="D2" t="e">
        <f>AND(List1!H31,"AAAAAFvz/wM=")</f>
        <v>#VALUE!</v>
      </c>
      <c r="E2" t="e">
        <f>AND(List1!I31,"AAAAAFvz/wQ=")</f>
        <v>#VALUE!</v>
      </c>
      <c r="F2" t="str">
        <f>IF(List1!32:32,"AAAAAFvz/wU=",0)</f>
        <v>AAAAAFvz/wU=</v>
      </c>
      <c r="G2" t="e">
        <f>AND(List1!A32,"AAAAAFvz/wY=")</f>
        <v>#VALUE!</v>
      </c>
      <c r="H2" t="e">
        <f>AND(List1!B32,"AAAAAFvz/wc=")</f>
        <v>#VALUE!</v>
      </c>
      <c r="I2" t="e">
        <f>AND(List1!C32,"AAAAAFvz/wg=")</f>
        <v>#VALUE!</v>
      </c>
      <c r="J2" t="e">
        <f>AND(List1!E32,"AAAAAFvz/wk=")</f>
        <v>#VALUE!</v>
      </c>
      <c r="K2" t="e">
        <f>AND(List1!F32,"AAAAAFvz/wo=")</f>
        <v>#VALUE!</v>
      </c>
      <c r="L2" t="e">
        <f>AND(List1!G32,"AAAAAFvz/ws=")</f>
        <v>#VALUE!</v>
      </c>
      <c r="M2" t="e">
        <f>AND(List1!H32,"AAAAAFvz/ww=")</f>
        <v>#VALUE!</v>
      </c>
      <c r="N2" t="e">
        <f>AND(List1!I32,"AAAAAFvz/w0=")</f>
        <v>#VALUE!</v>
      </c>
      <c r="O2">
        <f>IF(List1!33:33,"AAAAAFvz/w4=",0)</f>
        <v>0</v>
      </c>
      <c r="P2" t="e">
        <f>AND(List1!A33,"AAAAAFvz/w8=")</f>
        <v>#VALUE!</v>
      </c>
      <c r="Q2" t="e">
        <f>AND(List1!B33,"AAAAAFvz/xA=")</f>
        <v>#VALUE!</v>
      </c>
      <c r="R2" t="e">
        <f>AND(List1!C33,"AAAAAFvz/xE=")</f>
        <v>#VALUE!</v>
      </c>
      <c r="S2" t="e">
        <f>AND(List1!E33,"AAAAAFvz/xI=")</f>
        <v>#VALUE!</v>
      </c>
      <c r="T2" t="e">
        <f>AND(List1!F33,"AAAAAFvz/xM=")</f>
        <v>#VALUE!</v>
      </c>
      <c r="U2" t="e">
        <f>AND(List1!G33,"AAAAAFvz/xQ=")</f>
        <v>#VALUE!</v>
      </c>
      <c r="V2" t="e">
        <f>AND(List1!H33,"AAAAAFvz/xU=")</f>
        <v>#VALUE!</v>
      </c>
      <c r="W2" t="e">
        <f>AND(List1!I33,"AAAAAFvz/xY=")</f>
        <v>#VALUE!</v>
      </c>
      <c r="X2" t="e">
        <f>IF(List1!#REF!,"AAAAAFvz/xc=",0)</f>
        <v>#REF!</v>
      </c>
      <c r="Y2" t="e">
        <f>AND(List1!#REF!,"AAAAAFvz/xg=")</f>
        <v>#REF!</v>
      </c>
      <c r="Z2" t="e">
        <f>AND(List1!#REF!,"AAAAAFvz/xk=")</f>
        <v>#REF!</v>
      </c>
      <c r="AA2" t="e">
        <f>AND(List1!#REF!,"AAAAAFvz/xo=")</f>
        <v>#REF!</v>
      </c>
      <c r="AB2" t="e">
        <f>AND(List1!#REF!,"AAAAAFvz/xs=")</f>
        <v>#REF!</v>
      </c>
      <c r="AC2" t="e">
        <f>AND(List1!#REF!,"AAAAAFvz/xw=")</f>
        <v>#REF!</v>
      </c>
      <c r="AD2" t="e">
        <f>AND(List1!#REF!,"AAAAAFvz/x0=")</f>
        <v>#REF!</v>
      </c>
      <c r="AE2" t="e">
        <f>AND(List1!#REF!,"AAAAAFvz/x4=")</f>
        <v>#REF!</v>
      </c>
      <c r="AF2" t="e">
        <f>AND(List1!#REF!,"AAAAAFvz/x8=")</f>
        <v>#REF!</v>
      </c>
      <c r="AG2" t="e">
        <f>IF(List1!#REF!,"AAAAAFvz/yA=",0)</f>
        <v>#REF!</v>
      </c>
      <c r="AH2" t="e">
        <f>AND(List1!#REF!,"AAAAAFvz/yE=")</f>
        <v>#REF!</v>
      </c>
      <c r="AI2" t="e">
        <f>AND(List1!#REF!,"AAAAAFvz/yI=")</f>
        <v>#REF!</v>
      </c>
      <c r="AJ2" t="e">
        <f>AND(List1!#REF!,"AAAAAFvz/yM=")</f>
        <v>#REF!</v>
      </c>
      <c r="AK2" t="e">
        <f>AND(List1!#REF!,"AAAAAFvz/yQ=")</f>
        <v>#REF!</v>
      </c>
      <c r="AL2" t="e">
        <f>AND(List1!#REF!,"AAAAAFvz/yU=")</f>
        <v>#REF!</v>
      </c>
      <c r="AM2" t="e">
        <f>AND(List1!#REF!,"AAAAAFvz/yY=")</f>
        <v>#REF!</v>
      </c>
      <c r="AN2" t="e">
        <f>AND(List1!#REF!,"AAAAAFvz/yc=")</f>
        <v>#REF!</v>
      </c>
      <c r="AO2" t="e">
        <f>AND(List1!#REF!,"AAAAAFvz/yg=")</f>
        <v>#REF!</v>
      </c>
      <c r="AP2" t="e">
        <f>IF(List1!#REF!,"AAAAAFvz/yk=",0)</f>
        <v>#REF!</v>
      </c>
      <c r="AQ2" t="e">
        <f>AND(List1!#REF!,"AAAAAFvz/yo=")</f>
        <v>#REF!</v>
      </c>
      <c r="AR2" t="e">
        <f>AND(List1!#REF!,"AAAAAFvz/ys=")</f>
        <v>#REF!</v>
      </c>
      <c r="AS2" t="e">
        <f>AND(List1!#REF!,"AAAAAFvz/yw=")</f>
        <v>#REF!</v>
      </c>
      <c r="AT2" t="e">
        <f>AND(List1!#REF!,"AAAAAFvz/y0=")</f>
        <v>#REF!</v>
      </c>
      <c r="AU2" t="e">
        <f>AND(List1!#REF!,"AAAAAFvz/y4=")</f>
        <v>#REF!</v>
      </c>
      <c r="AV2" t="e">
        <f>AND(List1!#REF!,"AAAAAFvz/y8=")</f>
        <v>#REF!</v>
      </c>
      <c r="AW2" t="e">
        <f>AND(List1!#REF!,"AAAAAFvz/zA=")</f>
        <v>#REF!</v>
      </c>
      <c r="AX2" t="e">
        <f>AND(List1!#REF!,"AAAAAFvz/zE=")</f>
        <v>#REF!</v>
      </c>
      <c r="AY2">
        <f>IF(List1!34:34,"AAAAAFvz/zI=",0)</f>
        <v>0</v>
      </c>
      <c r="AZ2" t="e">
        <f>AND(List1!A34,"AAAAAFvz/zM=")</f>
        <v>#VALUE!</v>
      </c>
      <c r="BA2" t="e">
        <f>AND(List1!B34,"AAAAAFvz/zQ=")</f>
        <v>#VALUE!</v>
      </c>
      <c r="BB2" t="e">
        <f>AND(List1!C34,"AAAAAFvz/zU=")</f>
        <v>#VALUE!</v>
      </c>
      <c r="BC2" t="e">
        <f>AND(List1!E34,"AAAAAFvz/zY=")</f>
        <v>#VALUE!</v>
      </c>
      <c r="BD2" t="e">
        <f>AND(List1!F34,"AAAAAFvz/zc=")</f>
        <v>#VALUE!</v>
      </c>
      <c r="BE2" t="e">
        <f>AND(List1!G34,"AAAAAFvz/zg=")</f>
        <v>#VALUE!</v>
      </c>
      <c r="BF2" t="e">
        <f>AND(List1!H34,"AAAAAFvz/zk=")</f>
        <v>#VALUE!</v>
      </c>
      <c r="BG2" t="e">
        <f>AND(List1!I34,"AAAAAFvz/zo=")</f>
        <v>#VALUE!</v>
      </c>
      <c r="BH2">
        <f>IF(List1!35:35,"AAAAAFvz/zs=",0)</f>
        <v>0</v>
      </c>
      <c r="BI2" t="e">
        <f>AND(List1!A35,"AAAAAFvz/zw=")</f>
        <v>#VALUE!</v>
      </c>
      <c r="BJ2" t="e">
        <f>AND(List1!B35,"AAAAAFvz/z0=")</f>
        <v>#VALUE!</v>
      </c>
      <c r="BK2" t="e">
        <f>AND(List1!C35,"AAAAAFvz/z4=")</f>
        <v>#VALUE!</v>
      </c>
      <c r="BL2" t="e">
        <f>AND(List1!E35,"AAAAAFvz/z8=")</f>
        <v>#VALUE!</v>
      </c>
      <c r="BM2" t="e">
        <f>AND(List1!F35,"AAAAAFvz/0A=")</f>
        <v>#VALUE!</v>
      </c>
      <c r="BN2" t="e">
        <f>AND(List1!G35,"AAAAAFvz/0E=")</f>
        <v>#VALUE!</v>
      </c>
      <c r="BO2" t="e">
        <f>AND(List1!H35,"AAAAAFvz/0I=")</f>
        <v>#VALUE!</v>
      </c>
      <c r="BP2" t="e">
        <f>AND(List1!I35,"AAAAAFvz/0M=")</f>
        <v>#VALUE!</v>
      </c>
      <c r="BQ2">
        <f>IF(List1!36:36,"AAAAAFvz/0Q=",0)</f>
        <v>0</v>
      </c>
      <c r="BR2" t="e">
        <f>AND(List1!A36,"AAAAAFvz/0U=")</f>
        <v>#VALUE!</v>
      </c>
      <c r="BS2" t="e">
        <f>AND(List1!B36,"AAAAAFvz/0Y=")</f>
        <v>#VALUE!</v>
      </c>
      <c r="BT2" t="e">
        <f>AND(List1!C36,"AAAAAFvz/0c=")</f>
        <v>#VALUE!</v>
      </c>
      <c r="BU2" t="e">
        <f>AND(List1!E36,"AAAAAFvz/0g=")</f>
        <v>#VALUE!</v>
      </c>
      <c r="BV2" t="e">
        <f>AND(List1!F36,"AAAAAFvz/0k=")</f>
        <v>#VALUE!</v>
      </c>
      <c r="BW2" t="e">
        <f>AND(List1!G36,"AAAAAFvz/0o=")</f>
        <v>#VALUE!</v>
      </c>
      <c r="BX2" t="e">
        <f>AND(List1!H36,"AAAAAFvz/0s=")</f>
        <v>#VALUE!</v>
      </c>
      <c r="BY2" t="e">
        <f>AND(List1!I36,"AAAAAFvz/0w=")</f>
        <v>#VALUE!</v>
      </c>
      <c r="BZ2" t="e">
        <f>IF(List1!#REF!,"AAAAAFvz/00=",0)</f>
        <v>#REF!</v>
      </c>
      <c r="CA2" t="e">
        <f>AND(List1!#REF!,"AAAAAFvz/04=")</f>
        <v>#REF!</v>
      </c>
      <c r="CB2" t="e">
        <f>AND(List1!#REF!,"AAAAAFvz/08=")</f>
        <v>#REF!</v>
      </c>
      <c r="CC2" t="e">
        <f>AND(List1!#REF!,"AAAAAFvz/1A=")</f>
        <v>#REF!</v>
      </c>
      <c r="CD2" t="e">
        <f>AND(List1!#REF!,"AAAAAFvz/1E=")</f>
        <v>#REF!</v>
      </c>
      <c r="CE2" t="e">
        <f>AND(List1!#REF!,"AAAAAFvz/1I=")</f>
        <v>#REF!</v>
      </c>
      <c r="CF2" t="e">
        <f>AND(List1!#REF!,"AAAAAFvz/1M=")</f>
        <v>#REF!</v>
      </c>
      <c r="CG2" t="e">
        <f>AND(List1!#REF!,"AAAAAFvz/1Q=")</f>
        <v>#REF!</v>
      </c>
      <c r="CH2" t="e">
        <f>AND(List1!#REF!,"AAAAAFvz/1U=")</f>
        <v>#REF!</v>
      </c>
      <c r="CI2" t="e">
        <f>IF(List1!#REF!,"AAAAAFvz/1Y=",0)</f>
        <v>#REF!</v>
      </c>
      <c r="CJ2" t="e">
        <f>AND(List1!#REF!,"AAAAAFvz/1c=")</f>
        <v>#REF!</v>
      </c>
      <c r="CK2" t="e">
        <f>AND(List1!#REF!,"AAAAAFvz/1g=")</f>
        <v>#REF!</v>
      </c>
      <c r="CL2" t="e">
        <f>AND(List1!#REF!,"AAAAAFvz/1k=")</f>
        <v>#REF!</v>
      </c>
      <c r="CM2" t="e">
        <f>AND(List1!#REF!,"AAAAAFvz/1o=")</f>
        <v>#REF!</v>
      </c>
      <c r="CN2" t="e">
        <f>AND(List1!#REF!,"AAAAAFvz/1s=")</f>
        <v>#REF!</v>
      </c>
      <c r="CO2" t="e">
        <f>AND(List1!#REF!,"AAAAAFvz/1w=")</f>
        <v>#REF!</v>
      </c>
      <c r="CP2" t="e">
        <f>AND(List1!#REF!,"AAAAAFvz/10=")</f>
        <v>#REF!</v>
      </c>
      <c r="CQ2" t="e">
        <f>AND(List1!#REF!,"AAAAAFvz/14=")</f>
        <v>#REF!</v>
      </c>
      <c r="CR2" t="e">
        <f>IF(List1!#REF!,"AAAAAFvz/18=",0)</f>
        <v>#REF!</v>
      </c>
      <c r="CS2" t="e">
        <f>AND(List1!#REF!,"AAAAAFvz/2A=")</f>
        <v>#REF!</v>
      </c>
      <c r="CT2" t="e">
        <f>AND(List1!#REF!,"AAAAAFvz/2E=")</f>
        <v>#REF!</v>
      </c>
      <c r="CU2" t="e">
        <f>AND(List1!#REF!,"AAAAAFvz/2I=")</f>
        <v>#REF!</v>
      </c>
      <c r="CV2" t="e">
        <f>AND(List1!#REF!,"AAAAAFvz/2M=")</f>
        <v>#REF!</v>
      </c>
      <c r="CW2" t="e">
        <f>AND(List1!#REF!,"AAAAAFvz/2Q=")</f>
        <v>#REF!</v>
      </c>
      <c r="CX2" t="e">
        <f>AND(List1!#REF!,"AAAAAFvz/2U=")</f>
        <v>#REF!</v>
      </c>
      <c r="CY2" t="e">
        <f>AND(List1!#REF!,"AAAAAFvz/2Y=")</f>
        <v>#REF!</v>
      </c>
      <c r="CZ2" t="e">
        <f>AND(List1!#REF!,"AAAAAFvz/2c=")</f>
        <v>#REF!</v>
      </c>
      <c r="DA2" t="e">
        <f>IF(List1!#REF!,"AAAAAFvz/2g=",0)</f>
        <v>#REF!</v>
      </c>
      <c r="DB2" t="e">
        <f>AND(List1!#REF!,"AAAAAFvz/2k=")</f>
        <v>#REF!</v>
      </c>
      <c r="DC2" t="e">
        <f>AND(List1!#REF!,"AAAAAFvz/2o=")</f>
        <v>#REF!</v>
      </c>
      <c r="DD2" t="e">
        <f>AND(List1!#REF!,"AAAAAFvz/2s=")</f>
        <v>#REF!</v>
      </c>
      <c r="DE2" t="e">
        <f>AND(List1!#REF!,"AAAAAFvz/2w=")</f>
        <v>#REF!</v>
      </c>
      <c r="DF2" t="e">
        <f>AND(List1!#REF!,"AAAAAFvz/20=")</f>
        <v>#REF!</v>
      </c>
      <c r="DG2" t="e">
        <f>AND(List1!#REF!,"AAAAAFvz/24=")</f>
        <v>#REF!</v>
      </c>
      <c r="DH2" t="e">
        <f>AND(List1!#REF!,"AAAAAFvz/28=")</f>
        <v>#REF!</v>
      </c>
      <c r="DI2" t="e">
        <f>AND(List1!#REF!,"AAAAAFvz/3A=")</f>
        <v>#REF!</v>
      </c>
      <c r="DJ2" t="e">
        <f>IF(List1!#REF!,"AAAAAFvz/3E=",0)</f>
        <v>#REF!</v>
      </c>
      <c r="DK2" t="e">
        <f>AND(List1!#REF!,"AAAAAFvz/3I=")</f>
        <v>#REF!</v>
      </c>
      <c r="DL2" t="e">
        <f>AND(List1!#REF!,"AAAAAFvz/3M=")</f>
        <v>#REF!</v>
      </c>
      <c r="DM2" t="e">
        <f>AND(List1!#REF!,"AAAAAFvz/3Q=")</f>
        <v>#REF!</v>
      </c>
      <c r="DN2" t="e">
        <f>AND(List1!#REF!,"AAAAAFvz/3U=")</f>
        <v>#REF!</v>
      </c>
      <c r="DO2" t="e">
        <f>AND(List1!#REF!,"AAAAAFvz/3Y=")</f>
        <v>#REF!</v>
      </c>
      <c r="DP2" t="e">
        <f>AND(List1!#REF!,"AAAAAFvz/3c=")</f>
        <v>#REF!</v>
      </c>
      <c r="DQ2" t="e">
        <f>AND(List1!#REF!,"AAAAAFvz/3g=")</f>
        <v>#REF!</v>
      </c>
      <c r="DR2" t="e">
        <f>AND(List1!#REF!,"AAAAAFvz/3k=")</f>
        <v>#REF!</v>
      </c>
      <c r="DS2" t="e">
        <f>IF(List1!#REF!,"AAAAAFvz/3o=",0)</f>
        <v>#REF!</v>
      </c>
      <c r="DT2" t="e">
        <f>AND(List1!#REF!,"AAAAAFvz/3s=")</f>
        <v>#REF!</v>
      </c>
      <c r="DU2" t="e">
        <f>AND(List1!#REF!,"AAAAAFvz/3w=")</f>
        <v>#REF!</v>
      </c>
      <c r="DV2" t="e">
        <f>AND(List1!#REF!,"AAAAAFvz/30=")</f>
        <v>#REF!</v>
      </c>
      <c r="DW2" t="e">
        <f>AND(List1!#REF!,"AAAAAFvz/34=")</f>
        <v>#REF!</v>
      </c>
      <c r="DX2" t="e">
        <f>AND(List1!#REF!,"AAAAAFvz/38=")</f>
        <v>#REF!</v>
      </c>
      <c r="DY2" t="e">
        <f>AND(List1!#REF!,"AAAAAFvz/4A=")</f>
        <v>#REF!</v>
      </c>
      <c r="DZ2" t="e">
        <f>AND(List1!#REF!,"AAAAAFvz/4E=")</f>
        <v>#REF!</v>
      </c>
      <c r="EA2" t="e">
        <f>AND(List1!#REF!,"AAAAAFvz/4I=")</f>
        <v>#REF!</v>
      </c>
      <c r="EB2">
        <f>IF(List1!37:37,"AAAAAFvz/4M=",0)</f>
        <v>0</v>
      </c>
      <c r="EC2" t="e">
        <f>AND(List1!A37,"AAAAAFvz/4Q=")</f>
        <v>#VALUE!</v>
      </c>
      <c r="ED2" t="e">
        <f>AND(List1!B37,"AAAAAFvz/4U=")</f>
        <v>#VALUE!</v>
      </c>
      <c r="EE2" t="e">
        <f>AND(List1!C37,"AAAAAFvz/4Y=")</f>
        <v>#VALUE!</v>
      </c>
      <c r="EF2" t="e">
        <f>AND(List1!E37,"AAAAAFvz/4c=")</f>
        <v>#VALUE!</v>
      </c>
      <c r="EG2" t="e">
        <f>AND(List1!F37,"AAAAAFvz/4g=")</f>
        <v>#VALUE!</v>
      </c>
      <c r="EH2" t="e">
        <f>AND(List1!G37,"AAAAAFvz/4k=")</f>
        <v>#VALUE!</v>
      </c>
      <c r="EI2" t="e">
        <f>AND(List1!H37,"AAAAAFvz/4o=")</f>
        <v>#VALUE!</v>
      </c>
      <c r="EJ2" t="e">
        <f>AND(List1!I37,"AAAAAFvz/4s=")</f>
        <v>#VALUE!</v>
      </c>
      <c r="EK2">
        <f>IF(List1!38:38,"AAAAAFvz/4w=",0)</f>
        <v>0</v>
      </c>
      <c r="EL2" t="e">
        <f>AND(List1!A38,"AAAAAFvz/40=")</f>
        <v>#VALUE!</v>
      </c>
      <c r="EM2" t="e">
        <f>AND(List1!B38,"AAAAAFvz/44=")</f>
        <v>#VALUE!</v>
      </c>
      <c r="EN2" t="e">
        <f>AND(List1!C38,"AAAAAFvz/48=")</f>
        <v>#VALUE!</v>
      </c>
      <c r="EO2" t="e">
        <f>AND(List1!E38,"AAAAAFvz/5A=")</f>
        <v>#VALUE!</v>
      </c>
      <c r="EP2" t="e">
        <f>AND(List1!F38,"AAAAAFvz/5E=")</f>
        <v>#VALUE!</v>
      </c>
      <c r="EQ2" t="e">
        <f>AND(List1!G38,"AAAAAFvz/5I=")</f>
        <v>#VALUE!</v>
      </c>
      <c r="ER2" t="e">
        <f>AND(List1!H38,"AAAAAFvz/5M=")</f>
        <v>#VALUE!</v>
      </c>
      <c r="ES2" t="e">
        <f>AND(List1!I38,"AAAAAFvz/5Q=")</f>
        <v>#VALUE!</v>
      </c>
      <c r="ET2">
        <f>IF(List1!39:39,"AAAAAFvz/5U=",0)</f>
        <v>0</v>
      </c>
      <c r="EU2" t="e">
        <f>AND(List1!A39,"AAAAAFvz/5Y=")</f>
        <v>#VALUE!</v>
      </c>
      <c r="EV2" t="e">
        <f>AND(List1!B39,"AAAAAFvz/5c=")</f>
        <v>#VALUE!</v>
      </c>
      <c r="EW2" t="e">
        <f>AND(List1!C39,"AAAAAFvz/5g=")</f>
        <v>#VALUE!</v>
      </c>
      <c r="EX2" t="e">
        <f>AND(List1!E39,"AAAAAFvz/5k=")</f>
        <v>#VALUE!</v>
      </c>
      <c r="EY2" t="e">
        <f>AND(List1!F39,"AAAAAFvz/5o=")</f>
        <v>#VALUE!</v>
      </c>
      <c r="EZ2" t="e">
        <f>AND(List1!G39,"AAAAAFvz/5s=")</f>
        <v>#VALUE!</v>
      </c>
      <c r="FA2" t="e">
        <f>AND(List1!H39,"AAAAAFvz/5w=")</f>
        <v>#VALUE!</v>
      </c>
      <c r="FB2" t="e">
        <f>AND(List1!I39,"AAAAAFvz/50=")</f>
        <v>#VALUE!</v>
      </c>
      <c r="FC2">
        <f>IF(List1!40:40,"AAAAAFvz/54=",0)</f>
        <v>0</v>
      </c>
      <c r="FD2" t="e">
        <f>AND(List1!A40,"AAAAAFvz/58=")</f>
        <v>#VALUE!</v>
      </c>
      <c r="FE2" t="e">
        <f>AND(List1!B40,"AAAAAFvz/6A=")</f>
        <v>#VALUE!</v>
      </c>
      <c r="FF2" t="e">
        <f>AND(List1!C40,"AAAAAFvz/6E=")</f>
        <v>#VALUE!</v>
      </c>
      <c r="FG2" t="e">
        <f>AND(List1!E40,"AAAAAFvz/6I=")</f>
        <v>#VALUE!</v>
      </c>
      <c r="FH2" t="e">
        <f>AND(List1!F40,"AAAAAFvz/6M=")</f>
        <v>#VALUE!</v>
      </c>
      <c r="FI2" t="e">
        <f>AND(List1!G40,"AAAAAFvz/6Q=")</f>
        <v>#VALUE!</v>
      </c>
      <c r="FJ2" t="e">
        <f>AND(List1!H40,"AAAAAFvz/6U=")</f>
        <v>#VALUE!</v>
      </c>
      <c r="FK2" t="e">
        <f>AND(List1!I40,"AAAAAFvz/6Y=")</f>
        <v>#VALUE!</v>
      </c>
      <c r="FL2">
        <f>IF(List1!41:41,"AAAAAFvz/6c=",0)</f>
        <v>0</v>
      </c>
      <c r="FM2" t="e">
        <f>AND(List1!A41,"AAAAAFvz/6g=")</f>
        <v>#VALUE!</v>
      </c>
      <c r="FN2" t="e">
        <f>AND(List1!B41,"AAAAAFvz/6k=")</f>
        <v>#VALUE!</v>
      </c>
      <c r="FO2" t="e">
        <f>AND(List1!C41,"AAAAAFvz/6o=")</f>
        <v>#VALUE!</v>
      </c>
      <c r="FP2" t="e">
        <f>AND(List1!E41,"AAAAAFvz/6s=")</f>
        <v>#VALUE!</v>
      </c>
      <c r="FQ2" t="e">
        <f>AND(List1!F41,"AAAAAFvz/6w=")</f>
        <v>#VALUE!</v>
      </c>
      <c r="FR2" t="e">
        <f>AND(List1!G41,"AAAAAFvz/60=")</f>
        <v>#VALUE!</v>
      </c>
      <c r="FS2" t="e">
        <f>AND(List1!H41,"AAAAAFvz/64=")</f>
        <v>#VALUE!</v>
      </c>
      <c r="FT2" t="e">
        <f>AND(List1!I41,"AAAAAFvz/68=")</f>
        <v>#VALUE!</v>
      </c>
      <c r="FU2">
        <f>IF(List1!42:42,"AAAAAFvz/7A=",0)</f>
        <v>0</v>
      </c>
      <c r="FV2" t="e">
        <f>AND(List1!A42,"AAAAAFvz/7E=")</f>
        <v>#VALUE!</v>
      </c>
      <c r="FW2" t="e">
        <f>AND(List1!B42,"AAAAAFvz/7I=")</f>
        <v>#VALUE!</v>
      </c>
      <c r="FX2" t="e">
        <f>AND(List1!C42,"AAAAAFvz/7M=")</f>
        <v>#VALUE!</v>
      </c>
      <c r="FY2" t="e">
        <f>AND(List1!E42,"AAAAAFvz/7Q=")</f>
        <v>#VALUE!</v>
      </c>
      <c r="FZ2" t="e">
        <f>AND(List1!F42,"AAAAAFvz/7U=")</f>
        <v>#VALUE!</v>
      </c>
      <c r="GA2" t="e">
        <f>AND(List1!G42,"AAAAAFvz/7Y=")</f>
        <v>#VALUE!</v>
      </c>
      <c r="GB2" t="e">
        <f>AND(List1!H42,"AAAAAFvz/7c=")</f>
        <v>#VALUE!</v>
      </c>
      <c r="GC2" t="e">
        <f>AND(List1!I42,"AAAAAFvz/7g=")</f>
        <v>#VALUE!</v>
      </c>
      <c r="GD2">
        <f>IF(List1!43:43,"AAAAAFvz/7k=",0)</f>
        <v>0</v>
      </c>
      <c r="GE2" t="e">
        <f>AND(List1!A43,"AAAAAFvz/7o=")</f>
        <v>#VALUE!</v>
      </c>
      <c r="GF2" t="e">
        <f>AND(List1!B43,"AAAAAFvz/7s=")</f>
        <v>#VALUE!</v>
      </c>
      <c r="GG2" t="e">
        <f>AND(List1!C43,"AAAAAFvz/7w=")</f>
        <v>#VALUE!</v>
      </c>
      <c r="GH2" t="e">
        <f>AND(List1!E43,"AAAAAFvz/70=")</f>
        <v>#VALUE!</v>
      </c>
      <c r="GI2" t="e">
        <f>AND(List1!F43,"AAAAAFvz/74=")</f>
        <v>#VALUE!</v>
      </c>
      <c r="GJ2" t="e">
        <f>AND(List1!G43,"AAAAAFvz/78=")</f>
        <v>#VALUE!</v>
      </c>
      <c r="GK2" t="e">
        <f>AND(List1!H43,"AAAAAFvz/8A=")</f>
        <v>#VALUE!</v>
      </c>
      <c r="GL2" t="e">
        <f>AND(List1!I43,"AAAAAFvz/8E=")</f>
        <v>#VALUE!</v>
      </c>
      <c r="GM2">
        <f>IF(List1!44:44,"AAAAAFvz/8I=",0)</f>
        <v>0</v>
      </c>
      <c r="GN2" t="e">
        <f>AND(List1!A44,"AAAAAFvz/8M=")</f>
        <v>#VALUE!</v>
      </c>
      <c r="GO2" t="e">
        <f>AND(List1!B44,"AAAAAFvz/8Q=")</f>
        <v>#VALUE!</v>
      </c>
      <c r="GP2" t="e">
        <f>AND(List1!C44,"AAAAAFvz/8U=")</f>
        <v>#VALUE!</v>
      </c>
      <c r="GQ2" t="e">
        <f>AND(List1!E44,"AAAAAFvz/8Y=")</f>
        <v>#VALUE!</v>
      </c>
      <c r="GR2" t="e">
        <f>AND(List1!F44,"AAAAAFvz/8c=")</f>
        <v>#VALUE!</v>
      </c>
      <c r="GS2" t="e">
        <f>AND(List1!G44,"AAAAAFvz/8g=")</f>
        <v>#VALUE!</v>
      </c>
      <c r="GT2" t="e">
        <f>AND(List1!H44,"AAAAAFvz/8k=")</f>
        <v>#VALUE!</v>
      </c>
      <c r="GU2" t="e">
        <f>AND(List1!I44,"AAAAAFvz/8o=")</f>
        <v>#VALUE!</v>
      </c>
      <c r="GV2">
        <f>IF(List1!45:45,"AAAAAFvz/8s=",0)</f>
        <v>0</v>
      </c>
      <c r="GW2" t="e">
        <f>AND(List1!A45,"AAAAAFvz/8w=")</f>
        <v>#VALUE!</v>
      </c>
      <c r="GX2" t="e">
        <f>AND(List1!B45,"AAAAAFvz/80=")</f>
        <v>#VALUE!</v>
      </c>
      <c r="GY2" t="e">
        <f>AND(List1!C45,"AAAAAFvz/84=")</f>
        <v>#VALUE!</v>
      </c>
      <c r="GZ2" t="e">
        <f>AND(List1!E45,"AAAAAFvz/88=")</f>
        <v>#VALUE!</v>
      </c>
      <c r="HA2" t="e">
        <f>AND(List1!F45,"AAAAAFvz/9A=")</f>
        <v>#VALUE!</v>
      </c>
      <c r="HB2" t="e">
        <f>AND(List1!G45,"AAAAAFvz/9E=")</f>
        <v>#VALUE!</v>
      </c>
      <c r="HC2" t="e">
        <f>AND(List1!H45,"AAAAAFvz/9I=")</f>
        <v>#VALUE!</v>
      </c>
      <c r="HD2" t="e">
        <f>AND(List1!I45,"AAAAAFvz/9M=")</f>
        <v>#VALUE!</v>
      </c>
      <c r="HE2">
        <f>IF(List1!46:46,"AAAAAFvz/9Q=",0)</f>
        <v>0</v>
      </c>
      <c r="HF2" t="e">
        <f>AND(List1!A46,"AAAAAFvz/9U=")</f>
        <v>#VALUE!</v>
      </c>
      <c r="HG2" t="e">
        <f>AND(List1!B46,"AAAAAFvz/9Y=")</f>
        <v>#VALUE!</v>
      </c>
      <c r="HH2" t="e">
        <f>AND(List1!C46,"AAAAAFvz/9c=")</f>
        <v>#VALUE!</v>
      </c>
      <c r="HI2" t="e">
        <f>AND(List1!E46,"AAAAAFvz/9g=")</f>
        <v>#VALUE!</v>
      </c>
      <c r="HJ2" t="e">
        <f>AND(List1!F46,"AAAAAFvz/9k=")</f>
        <v>#VALUE!</v>
      </c>
      <c r="HK2" t="e">
        <f>AND(List1!G46,"AAAAAFvz/9o=")</f>
        <v>#VALUE!</v>
      </c>
      <c r="HL2" t="e">
        <f>AND(List1!H46,"AAAAAFvz/9s=")</f>
        <v>#VALUE!</v>
      </c>
      <c r="HM2" t="e">
        <f>AND(List1!I46,"AAAAAFvz/9w=")</f>
        <v>#VALUE!</v>
      </c>
      <c r="HN2">
        <f>IF(List1!47:47,"AAAAAFvz/90=",0)</f>
        <v>0</v>
      </c>
      <c r="HO2" t="e">
        <f>AND(List1!A47,"AAAAAFvz/94=")</f>
        <v>#VALUE!</v>
      </c>
      <c r="HP2" t="e">
        <f>AND(List1!B47,"AAAAAFvz/98=")</f>
        <v>#VALUE!</v>
      </c>
      <c r="HQ2" t="e">
        <f>AND(List1!C47,"AAAAAFvz/+A=")</f>
        <v>#VALUE!</v>
      </c>
      <c r="HR2" t="e">
        <f>AND(List1!E47,"AAAAAFvz/+E=")</f>
        <v>#VALUE!</v>
      </c>
      <c r="HS2" t="e">
        <f>AND(List1!F47,"AAAAAFvz/+I=")</f>
        <v>#VALUE!</v>
      </c>
      <c r="HT2" t="e">
        <f>AND(List1!G47,"AAAAAFvz/+M=")</f>
        <v>#VALUE!</v>
      </c>
      <c r="HU2" t="e">
        <f>AND(List1!H47,"AAAAAFvz/+Q=")</f>
        <v>#VALUE!</v>
      </c>
      <c r="HV2" t="e">
        <f>AND(List1!I47,"AAAAAFvz/+U=")</f>
        <v>#VALUE!</v>
      </c>
      <c r="HW2">
        <f>IF(List1!48:48,"AAAAAFvz/+Y=",0)</f>
        <v>0</v>
      </c>
      <c r="HX2" t="e">
        <f>AND(List1!A48,"AAAAAFvz/+c=")</f>
        <v>#VALUE!</v>
      </c>
      <c r="HY2" t="e">
        <f>AND(List1!B48,"AAAAAFvz/+g=")</f>
        <v>#VALUE!</v>
      </c>
      <c r="HZ2" t="e">
        <f>AND(List1!C48,"AAAAAFvz/+k=")</f>
        <v>#VALUE!</v>
      </c>
      <c r="IA2" t="e">
        <f>AND(List1!E48,"AAAAAFvz/+o=")</f>
        <v>#VALUE!</v>
      </c>
      <c r="IB2" t="e">
        <f>AND(List1!F48,"AAAAAFvz/+s=")</f>
        <v>#VALUE!</v>
      </c>
      <c r="IC2" t="e">
        <f>AND(List1!G48,"AAAAAFvz/+w=")</f>
        <v>#VALUE!</v>
      </c>
      <c r="ID2" t="e">
        <f>AND(List1!H48,"AAAAAFvz/+0=")</f>
        <v>#VALUE!</v>
      </c>
      <c r="IE2" t="e">
        <f>AND(List1!I48,"AAAAAFvz/+4=")</f>
        <v>#VALUE!</v>
      </c>
      <c r="IF2">
        <f>IF(List1!49:49,"AAAAAFvz/+8=",0)</f>
        <v>0</v>
      </c>
      <c r="IG2" t="e">
        <f>AND(List1!A49,"AAAAAFvz//A=")</f>
        <v>#VALUE!</v>
      </c>
      <c r="IH2" t="e">
        <f>AND(List1!B49,"AAAAAFvz//E=")</f>
        <v>#VALUE!</v>
      </c>
      <c r="II2" t="e">
        <f>AND(List1!C49,"AAAAAFvz//I=")</f>
        <v>#VALUE!</v>
      </c>
      <c r="IJ2" t="e">
        <f>AND(List1!E49,"AAAAAFvz//M=")</f>
        <v>#VALUE!</v>
      </c>
      <c r="IK2" t="e">
        <f>AND(List1!F49,"AAAAAFvz//Q=")</f>
        <v>#VALUE!</v>
      </c>
      <c r="IL2" t="e">
        <f>AND(List1!G49,"AAAAAFvz//U=")</f>
        <v>#VALUE!</v>
      </c>
      <c r="IM2" t="e">
        <f>AND(List1!H49,"AAAAAFvz//Y=")</f>
        <v>#VALUE!</v>
      </c>
      <c r="IN2" t="e">
        <f>AND(List1!I49,"AAAAAFvz//c=")</f>
        <v>#VALUE!</v>
      </c>
      <c r="IO2">
        <f>IF(List1!50:50,"AAAAAFvz//g=",0)</f>
        <v>0</v>
      </c>
      <c r="IP2" t="e">
        <f>AND(List1!A50,"AAAAAFvz//k=")</f>
        <v>#VALUE!</v>
      </c>
      <c r="IQ2" t="e">
        <f>AND(List1!B50,"AAAAAFvz//o=")</f>
        <v>#VALUE!</v>
      </c>
      <c r="IR2" t="e">
        <f>AND(List1!C50,"AAAAAFvz//s=")</f>
        <v>#VALUE!</v>
      </c>
      <c r="IS2" t="e">
        <f>AND(List1!E50,"AAAAAFvz//w=")</f>
        <v>#VALUE!</v>
      </c>
      <c r="IT2" t="e">
        <f>AND(List1!F50,"AAAAAFvz//0=")</f>
        <v>#VALUE!</v>
      </c>
      <c r="IU2" t="e">
        <f>AND(List1!G50,"AAAAAFvz//4=")</f>
        <v>#VALUE!</v>
      </c>
      <c r="IV2" t="e">
        <f>AND(List1!H50,"AAAAAFvz//8=")</f>
        <v>#VALUE!</v>
      </c>
    </row>
    <row r="3" spans="1:256" ht="12.75">
      <c r="A3" t="e">
        <f>AND(List1!I50,"AAAAAH2d2wA=")</f>
        <v>#VALUE!</v>
      </c>
      <c r="B3" t="e">
        <f>IF(List1!51:51,"AAAAAH2d2wE=",0)</f>
        <v>#VALUE!</v>
      </c>
      <c r="C3" t="e">
        <f>AND(List1!A51,"AAAAAH2d2wI=")</f>
        <v>#VALUE!</v>
      </c>
      <c r="D3" t="e">
        <f>AND(List1!B51,"AAAAAH2d2wM=")</f>
        <v>#VALUE!</v>
      </c>
      <c r="E3" t="e">
        <f>AND(List1!C51,"AAAAAH2d2wQ=")</f>
        <v>#VALUE!</v>
      </c>
      <c r="F3" t="e">
        <f>AND(List1!E51,"AAAAAH2d2wU=")</f>
        <v>#VALUE!</v>
      </c>
      <c r="G3" t="e">
        <f>AND(List1!F51,"AAAAAH2d2wY=")</f>
        <v>#VALUE!</v>
      </c>
      <c r="H3" t="e">
        <f>AND(List1!G51,"AAAAAH2d2wc=")</f>
        <v>#VALUE!</v>
      </c>
      <c r="I3" t="e">
        <f>AND(List1!H51,"AAAAAH2d2wg=")</f>
        <v>#VALUE!</v>
      </c>
      <c r="J3" t="e">
        <f>AND(List1!I51,"AAAAAH2d2wk=")</f>
        <v>#VALUE!</v>
      </c>
      <c r="K3">
        <f>IF(List1!52:52,"AAAAAH2d2wo=",0)</f>
        <v>0</v>
      </c>
      <c r="L3" t="e">
        <f>AND(List1!A52,"AAAAAH2d2ws=")</f>
        <v>#VALUE!</v>
      </c>
      <c r="M3" t="e">
        <f>AND(List1!B52,"AAAAAH2d2ww=")</f>
        <v>#VALUE!</v>
      </c>
      <c r="N3" t="e">
        <f>AND(List1!C52,"AAAAAH2d2w0=")</f>
        <v>#VALUE!</v>
      </c>
      <c r="O3" t="e">
        <f>AND(List1!E52,"AAAAAH2d2w4=")</f>
        <v>#VALUE!</v>
      </c>
      <c r="P3" t="e">
        <f>AND(List1!F52,"AAAAAH2d2w8=")</f>
        <v>#VALUE!</v>
      </c>
      <c r="Q3" t="e">
        <f>AND(List1!G52,"AAAAAH2d2xA=")</f>
        <v>#VALUE!</v>
      </c>
      <c r="R3" t="e">
        <f>AND(List1!H52,"AAAAAH2d2xE=")</f>
        <v>#VALUE!</v>
      </c>
      <c r="S3" t="e">
        <f>AND(List1!I52,"AAAAAH2d2xI=")</f>
        <v>#VALUE!</v>
      </c>
      <c r="T3">
        <f>IF(List1!53:53,"AAAAAH2d2xM=",0)</f>
        <v>0</v>
      </c>
      <c r="U3" t="e">
        <f>AND(List1!A53,"AAAAAH2d2xQ=")</f>
        <v>#VALUE!</v>
      </c>
      <c r="V3" t="e">
        <f>AND(List1!B53,"AAAAAH2d2xU=")</f>
        <v>#VALUE!</v>
      </c>
      <c r="W3" t="e">
        <f>AND(List1!C53,"AAAAAH2d2xY=")</f>
        <v>#VALUE!</v>
      </c>
      <c r="X3" t="e">
        <f>AND(List1!E53,"AAAAAH2d2xc=")</f>
        <v>#VALUE!</v>
      </c>
      <c r="Y3" t="e">
        <f>AND(List1!F53,"AAAAAH2d2xg=")</f>
        <v>#VALUE!</v>
      </c>
      <c r="Z3" t="e">
        <f>AND(List1!G53,"AAAAAH2d2xk=")</f>
        <v>#VALUE!</v>
      </c>
      <c r="AA3" t="e">
        <f>AND(List1!H53,"AAAAAH2d2xo=")</f>
        <v>#VALUE!</v>
      </c>
      <c r="AB3" t="e">
        <f>AND(List1!I53,"AAAAAH2d2xs=")</f>
        <v>#VALUE!</v>
      </c>
      <c r="AC3">
        <f>IF(List1!54:54,"AAAAAH2d2xw=",0)</f>
        <v>0</v>
      </c>
      <c r="AD3" t="e">
        <f>AND(List1!A54,"AAAAAH2d2x0=")</f>
        <v>#VALUE!</v>
      </c>
      <c r="AE3" t="e">
        <f>AND(List1!B54,"AAAAAH2d2x4=")</f>
        <v>#VALUE!</v>
      </c>
      <c r="AF3" t="e">
        <f>AND(List1!C54,"AAAAAH2d2x8=")</f>
        <v>#VALUE!</v>
      </c>
      <c r="AG3" t="e">
        <f>AND(List1!E54,"AAAAAH2d2yA=")</f>
        <v>#VALUE!</v>
      </c>
      <c r="AH3" t="e">
        <f>AND(List1!F54,"AAAAAH2d2yE=")</f>
        <v>#VALUE!</v>
      </c>
      <c r="AI3" t="e">
        <f>AND(List1!G54,"AAAAAH2d2yI=")</f>
        <v>#VALUE!</v>
      </c>
      <c r="AJ3" t="e">
        <f>AND(List1!H54,"AAAAAH2d2yM=")</f>
        <v>#VALUE!</v>
      </c>
      <c r="AK3" t="e">
        <f>AND(List1!I54,"AAAAAH2d2yQ=")</f>
        <v>#VALUE!</v>
      </c>
      <c r="AL3">
        <f>IF(List1!55:55,"AAAAAH2d2yU=",0)</f>
        <v>0</v>
      </c>
      <c r="AM3" t="e">
        <f>AND(List1!A55,"AAAAAH2d2yY=")</f>
        <v>#VALUE!</v>
      </c>
      <c r="AN3" t="e">
        <f>AND(List1!B55,"AAAAAH2d2yc=")</f>
        <v>#VALUE!</v>
      </c>
      <c r="AO3" t="e">
        <f>AND(List1!C55,"AAAAAH2d2yg=")</f>
        <v>#VALUE!</v>
      </c>
      <c r="AP3" t="e">
        <f>AND(List1!E55,"AAAAAH2d2yk=")</f>
        <v>#VALUE!</v>
      </c>
      <c r="AQ3" t="e">
        <f>AND(List1!F55,"AAAAAH2d2yo=")</f>
        <v>#VALUE!</v>
      </c>
      <c r="AR3" t="e">
        <f>AND(List1!G55,"AAAAAH2d2ys=")</f>
        <v>#VALUE!</v>
      </c>
      <c r="AS3" t="e">
        <f>AND(List1!H55,"AAAAAH2d2yw=")</f>
        <v>#VALUE!</v>
      </c>
      <c r="AT3" t="e">
        <f>AND(List1!I55,"AAAAAH2d2y0=")</f>
        <v>#VALUE!</v>
      </c>
      <c r="AU3">
        <f>IF(List1!56:56,"AAAAAH2d2y4=",0)</f>
        <v>0</v>
      </c>
      <c r="AV3" t="e">
        <f>AND(List1!A56,"AAAAAH2d2y8=")</f>
        <v>#VALUE!</v>
      </c>
      <c r="AW3" t="e">
        <f>AND(List1!B56,"AAAAAH2d2zA=")</f>
        <v>#VALUE!</v>
      </c>
      <c r="AX3" t="e">
        <f>AND(List1!C56,"AAAAAH2d2zE=")</f>
        <v>#VALUE!</v>
      </c>
      <c r="AY3" t="e">
        <f>AND(List1!E56,"AAAAAH2d2zI=")</f>
        <v>#VALUE!</v>
      </c>
      <c r="AZ3" t="e">
        <f>AND(List1!F56,"AAAAAH2d2zM=")</f>
        <v>#VALUE!</v>
      </c>
      <c r="BA3" t="e">
        <f>AND(List1!G56,"AAAAAH2d2zQ=")</f>
        <v>#VALUE!</v>
      </c>
      <c r="BB3" t="e">
        <f>AND(List1!H56,"AAAAAH2d2zU=")</f>
        <v>#VALUE!</v>
      </c>
      <c r="BC3" t="e">
        <f>AND(List1!I56,"AAAAAH2d2zY=")</f>
        <v>#VALUE!</v>
      </c>
      <c r="BD3">
        <f>IF(List1!57:57,"AAAAAH2d2zc=",0)</f>
        <v>0</v>
      </c>
      <c r="BE3" t="e">
        <f>AND(List1!A57,"AAAAAH2d2zg=")</f>
        <v>#VALUE!</v>
      </c>
      <c r="BF3" t="e">
        <f>AND(List1!B57,"AAAAAH2d2zk=")</f>
        <v>#VALUE!</v>
      </c>
      <c r="BG3" t="e">
        <f>AND(List1!C57,"AAAAAH2d2zo=")</f>
        <v>#VALUE!</v>
      </c>
      <c r="BH3" t="e">
        <f>AND(List1!E57,"AAAAAH2d2zs=")</f>
        <v>#VALUE!</v>
      </c>
      <c r="BI3" t="e">
        <f>AND(List1!F57,"AAAAAH2d2zw=")</f>
        <v>#VALUE!</v>
      </c>
      <c r="BJ3" t="e">
        <f>AND(List1!G57,"AAAAAH2d2z0=")</f>
        <v>#VALUE!</v>
      </c>
      <c r="BK3" t="e">
        <f>AND(List1!H57,"AAAAAH2d2z4=")</f>
        <v>#VALUE!</v>
      </c>
      <c r="BL3" t="e">
        <f>AND(List1!I57,"AAAAAH2d2z8=")</f>
        <v>#VALUE!</v>
      </c>
      <c r="BM3">
        <f>IF(List1!58:58,"AAAAAH2d20A=",0)</f>
        <v>0</v>
      </c>
      <c r="BN3" t="e">
        <f>AND(List1!A58,"AAAAAH2d20E=")</f>
        <v>#VALUE!</v>
      </c>
      <c r="BO3" t="e">
        <f>AND(List1!B58,"AAAAAH2d20I=")</f>
        <v>#VALUE!</v>
      </c>
      <c r="BP3" t="e">
        <f>AND(List1!C58,"AAAAAH2d20M=")</f>
        <v>#VALUE!</v>
      </c>
      <c r="BQ3" t="e">
        <f>AND(List1!E58,"AAAAAH2d20Q=")</f>
        <v>#VALUE!</v>
      </c>
      <c r="BR3" t="e">
        <f>AND(List1!F58,"AAAAAH2d20U=")</f>
        <v>#VALUE!</v>
      </c>
      <c r="BS3" t="e">
        <f>AND(List1!G58,"AAAAAH2d20Y=")</f>
        <v>#VALUE!</v>
      </c>
      <c r="BT3" t="e">
        <f>AND(List1!H58,"AAAAAH2d20c=")</f>
        <v>#VALUE!</v>
      </c>
      <c r="BU3" t="e">
        <f>AND(List1!I58,"AAAAAH2d20g=")</f>
        <v>#VALUE!</v>
      </c>
      <c r="BV3">
        <f>IF(List1!59:59,"AAAAAH2d20k=",0)</f>
        <v>0</v>
      </c>
      <c r="BW3" t="e">
        <f>AND(List1!A59,"AAAAAH2d20o=")</f>
        <v>#VALUE!</v>
      </c>
      <c r="BX3" t="e">
        <f>AND(List1!B59,"AAAAAH2d20s=")</f>
        <v>#VALUE!</v>
      </c>
      <c r="BY3" t="e">
        <f>AND(List1!C59,"AAAAAH2d20w=")</f>
        <v>#VALUE!</v>
      </c>
      <c r="BZ3" t="e">
        <f>AND(List1!E59,"AAAAAH2d200=")</f>
        <v>#VALUE!</v>
      </c>
      <c r="CA3" t="e">
        <f>AND(List1!F59,"AAAAAH2d204=")</f>
        <v>#VALUE!</v>
      </c>
      <c r="CB3" t="e">
        <f>AND(List1!G59,"AAAAAH2d208=")</f>
        <v>#VALUE!</v>
      </c>
      <c r="CC3" t="e">
        <f>AND(List1!H59,"AAAAAH2d21A=")</f>
        <v>#VALUE!</v>
      </c>
      <c r="CD3" t="e">
        <f>AND(List1!I59,"AAAAAH2d21E=")</f>
        <v>#VALUE!</v>
      </c>
      <c r="CE3">
        <f>IF(List1!60:60,"AAAAAH2d21I=",0)</f>
        <v>0</v>
      </c>
      <c r="CF3" t="e">
        <f>AND(List1!A60,"AAAAAH2d21M=")</f>
        <v>#VALUE!</v>
      </c>
      <c r="CG3" t="e">
        <f>AND(List1!B60,"AAAAAH2d21Q=")</f>
        <v>#VALUE!</v>
      </c>
      <c r="CH3" t="e">
        <f>AND(List1!C60,"AAAAAH2d21U=")</f>
        <v>#VALUE!</v>
      </c>
      <c r="CI3" t="e">
        <f>AND(List1!E60,"AAAAAH2d21Y=")</f>
        <v>#VALUE!</v>
      </c>
      <c r="CJ3" t="e">
        <f>AND(List1!F60,"AAAAAH2d21c=")</f>
        <v>#VALUE!</v>
      </c>
      <c r="CK3" t="e">
        <f>AND(List1!G60,"AAAAAH2d21g=")</f>
        <v>#VALUE!</v>
      </c>
      <c r="CL3" t="e">
        <f>AND(List1!H60,"AAAAAH2d21k=")</f>
        <v>#VALUE!</v>
      </c>
      <c r="CM3" t="e">
        <f>AND(List1!I60,"AAAAAH2d21o=")</f>
        <v>#VALUE!</v>
      </c>
      <c r="CN3">
        <f>IF(List1!61:61,"AAAAAH2d21s=",0)</f>
        <v>0</v>
      </c>
      <c r="CO3" t="e">
        <f>AND(List1!A61,"AAAAAH2d21w=")</f>
        <v>#VALUE!</v>
      </c>
      <c r="CP3" t="e">
        <f>AND(List1!B61,"AAAAAH2d210=")</f>
        <v>#VALUE!</v>
      </c>
      <c r="CQ3" t="e">
        <f>AND(List1!C61,"AAAAAH2d214=")</f>
        <v>#VALUE!</v>
      </c>
      <c r="CR3" t="e">
        <f>AND(List1!E61,"AAAAAH2d218=")</f>
        <v>#VALUE!</v>
      </c>
      <c r="CS3" t="e">
        <f>AND(List1!F61,"AAAAAH2d22A=")</f>
        <v>#VALUE!</v>
      </c>
      <c r="CT3" t="e">
        <f>AND(List1!G61,"AAAAAH2d22E=")</f>
        <v>#VALUE!</v>
      </c>
      <c r="CU3" t="e">
        <f>AND(List1!H61,"AAAAAH2d22I=")</f>
        <v>#VALUE!</v>
      </c>
      <c r="CV3" t="e">
        <f>AND(List1!I61,"AAAAAH2d22M=")</f>
        <v>#VALUE!</v>
      </c>
      <c r="CW3">
        <f>IF(List1!62:62,"AAAAAH2d22Q=",0)</f>
        <v>0</v>
      </c>
      <c r="CX3" t="e">
        <f>AND(List1!A62,"AAAAAH2d22U=")</f>
        <v>#VALUE!</v>
      </c>
      <c r="CY3" t="e">
        <f>AND(List1!B62,"AAAAAH2d22Y=")</f>
        <v>#VALUE!</v>
      </c>
      <c r="CZ3" t="e">
        <f>AND(List1!C62,"AAAAAH2d22c=")</f>
        <v>#VALUE!</v>
      </c>
      <c r="DA3" t="e">
        <f>AND(List1!E62,"AAAAAH2d22g=")</f>
        <v>#VALUE!</v>
      </c>
      <c r="DB3" t="e">
        <f>AND(List1!F62,"AAAAAH2d22k=")</f>
        <v>#VALUE!</v>
      </c>
      <c r="DC3" t="e">
        <f>AND(List1!G62,"AAAAAH2d22o=")</f>
        <v>#VALUE!</v>
      </c>
      <c r="DD3" t="e">
        <f>AND(List1!H62,"AAAAAH2d22s=")</f>
        <v>#VALUE!</v>
      </c>
      <c r="DE3" t="e">
        <f>AND(List1!I62,"AAAAAH2d22w=")</f>
        <v>#VALUE!</v>
      </c>
      <c r="DF3">
        <f>IF(List1!63:63,"AAAAAH2d220=",0)</f>
        <v>0</v>
      </c>
      <c r="DG3" t="e">
        <f>AND(List1!A63,"AAAAAH2d224=")</f>
        <v>#VALUE!</v>
      </c>
      <c r="DH3" t="e">
        <f>AND(List1!B63,"AAAAAH2d228=")</f>
        <v>#VALUE!</v>
      </c>
      <c r="DI3" t="e">
        <f>AND(List1!C63,"AAAAAH2d23A=")</f>
        <v>#VALUE!</v>
      </c>
      <c r="DJ3" t="e">
        <f>AND(List1!E63,"AAAAAH2d23E=")</f>
        <v>#VALUE!</v>
      </c>
      <c r="DK3" t="e">
        <f>AND(List1!F63,"AAAAAH2d23I=")</f>
        <v>#VALUE!</v>
      </c>
      <c r="DL3" t="e">
        <f>AND(List1!G63,"AAAAAH2d23M=")</f>
        <v>#VALUE!</v>
      </c>
      <c r="DM3" t="e">
        <f>AND(List1!H63,"AAAAAH2d23Q=")</f>
        <v>#VALUE!</v>
      </c>
      <c r="DN3" t="e">
        <f>AND(List1!I63,"AAAAAH2d23U=")</f>
        <v>#VALUE!</v>
      </c>
      <c r="DO3">
        <f>IF(List1!64:64,"AAAAAH2d23Y=",0)</f>
        <v>0</v>
      </c>
      <c r="DP3" t="e">
        <f>AND(List1!A64,"AAAAAH2d23c=")</f>
        <v>#VALUE!</v>
      </c>
      <c r="DQ3" t="e">
        <f>AND(List1!B64,"AAAAAH2d23g=")</f>
        <v>#VALUE!</v>
      </c>
      <c r="DR3" t="e">
        <f>AND(List1!C64,"AAAAAH2d23k=")</f>
        <v>#VALUE!</v>
      </c>
      <c r="DS3" t="e">
        <f>AND(List1!E64,"AAAAAH2d23o=")</f>
        <v>#VALUE!</v>
      </c>
      <c r="DT3" t="e">
        <f>AND(List1!F64,"AAAAAH2d23s=")</f>
        <v>#VALUE!</v>
      </c>
      <c r="DU3" t="e">
        <f>AND(List1!G64,"AAAAAH2d23w=")</f>
        <v>#VALUE!</v>
      </c>
      <c r="DV3" t="e">
        <f>AND(List1!H64,"AAAAAH2d230=")</f>
        <v>#VALUE!</v>
      </c>
      <c r="DW3" t="e">
        <f>AND(List1!I64,"AAAAAH2d234=")</f>
        <v>#VALUE!</v>
      </c>
      <c r="DX3">
        <f>IF(List1!65:65,"AAAAAH2d238=",0)</f>
        <v>0</v>
      </c>
      <c r="DY3" t="e">
        <f>AND(List1!A65,"AAAAAH2d24A=")</f>
        <v>#VALUE!</v>
      </c>
      <c r="DZ3" t="e">
        <f>AND(List1!B65,"AAAAAH2d24E=")</f>
        <v>#VALUE!</v>
      </c>
      <c r="EA3" t="e">
        <f>AND(List1!C65,"AAAAAH2d24I=")</f>
        <v>#VALUE!</v>
      </c>
      <c r="EB3" t="e">
        <f>AND(List1!E65,"AAAAAH2d24M=")</f>
        <v>#VALUE!</v>
      </c>
      <c r="EC3" t="e">
        <f>AND(List1!F65,"AAAAAH2d24Q=")</f>
        <v>#VALUE!</v>
      </c>
      <c r="ED3" t="e">
        <f>AND(List1!G65,"AAAAAH2d24U=")</f>
        <v>#VALUE!</v>
      </c>
      <c r="EE3" t="e">
        <f>AND(List1!H65,"AAAAAH2d24Y=")</f>
        <v>#VALUE!</v>
      </c>
      <c r="EF3" t="e">
        <f>AND(List1!I65,"AAAAAH2d24c=")</f>
        <v>#VALUE!</v>
      </c>
      <c r="EG3">
        <f>IF(List1!66:66,"AAAAAH2d24g=",0)</f>
        <v>0</v>
      </c>
      <c r="EH3" t="e">
        <f>AND(List1!A66,"AAAAAH2d24k=")</f>
        <v>#VALUE!</v>
      </c>
      <c r="EI3" t="e">
        <f>AND(List1!B66,"AAAAAH2d24o=")</f>
        <v>#VALUE!</v>
      </c>
      <c r="EJ3" t="e">
        <f>AND(List1!C66,"AAAAAH2d24s=")</f>
        <v>#VALUE!</v>
      </c>
      <c r="EK3" t="e">
        <f>AND(List1!E66,"AAAAAH2d24w=")</f>
        <v>#VALUE!</v>
      </c>
      <c r="EL3" t="e">
        <f>AND(List1!F66,"AAAAAH2d240=")</f>
        <v>#VALUE!</v>
      </c>
      <c r="EM3" t="e">
        <f>AND(List1!G66,"AAAAAH2d244=")</f>
        <v>#VALUE!</v>
      </c>
      <c r="EN3" t="e">
        <f>AND(List1!H66,"AAAAAH2d248=")</f>
        <v>#VALUE!</v>
      </c>
      <c r="EO3" t="e">
        <f>AND(List1!I66,"AAAAAH2d25A=")</f>
        <v>#VALUE!</v>
      </c>
      <c r="EP3">
        <f>IF(List1!67:67,"AAAAAH2d25E=",0)</f>
        <v>0</v>
      </c>
      <c r="EQ3" t="e">
        <f>AND(List1!A67,"AAAAAH2d25I=")</f>
        <v>#VALUE!</v>
      </c>
      <c r="ER3" t="e">
        <f>AND(List1!B67,"AAAAAH2d25M=")</f>
        <v>#VALUE!</v>
      </c>
      <c r="ES3" t="e">
        <f>AND(List1!C67,"AAAAAH2d25Q=")</f>
        <v>#VALUE!</v>
      </c>
      <c r="ET3" t="e">
        <f>AND(List1!E67,"AAAAAH2d25U=")</f>
        <v>#VALUE!</v>
      </c>
      <c r="EU3" t="e">
        <f>AND(List1!F67,"AAAAAH2d25Y=")</f>
        <v>#VALUE!</v>
      </c>
      <c r="EV3" t="e">
        <f>AND(List1!G67,"AAAAAH2d25c=")</f>
        <v>#VALUE!</v>
      </c>
      <c r="EW3" t="e">
        <f>AND(List1!H67,"AAAAAH2d25g=")</f>
        <v>#VALUE!</v>
      </c>
      <c r="EX3" t="e">
        <f>AND(List1!I67,"AAAAAH2d25k=")</f>
        <v>#VALUE!</v>
      </c>
      <c r="EY3">
        <f>IF(List1!68:68,"AAAAAH2d25o=",0)</f>
        <v>0</v>
      </c>
      <c r="EZ3" t="e">
        <f>AND(List1!A68,"AAAAAH2d25s=")</f>
        <v>#VALUE!</v>
      </c>
      <c r="FA3" t="e">
        <f>AND(List1!B68,"AAAAAH2d25w=")</f>
        <v>#VALUE!</v>
      </c>
      <c r="FB3" t="e">
        <f>AND(List1!C68,"AAAAAH2d250=")</f>
        <v>#VALUE!</v>
      </c>
      <c r="FC3" t="e">
        <f>AND(List1!E68,"AAAAAH2d254=")</f>
        <v>#VALUE!</v>
      </c>
      <c r="FD3" t="e">
        <f>AND(List1!F68,"AAAAAH2d258=")</f>
        <v>#VALUE!</v>
      </c>
      <c r="FE3" t="e">
        <f>AND(List1!G68,"AAAAAH2d26A=")</f>
        <v>#VALUE!</v>
      </c>
      <c r="FF3" t="e">
        <f>AND(List1!H68,"AAAAAH2d26E=")</f>
        <v>#VALUE!</v>
      </c>
      <c r="FG3" t="e">
        <f>AND(List1!I68,"AAAAAH2d26I=")</f>
        <v>#VALUE!</v>
      </c>
      <c r="FH3">
        <f>IF(List1!69:69,"AAAAAH2d26M=",0)</f>
        <v>0</v>
      </c>
      <c r="FI3" t="e">
        <f>AND(List1!A69,"AAAAAH2d26Q=")</f>
        <v>#VALUE!</v>
      </c>
      <c r="FJ3" t="e">
        <f>AND(List1!B69,"AAAAAH2d26U=")</f>
        <v>#VALUE!</v>
      </c>
      <c r="FK3" t="e">
        <f>AND(List1!C69,"AAAAAH2d26Y=")</f>
        <v>#VALUE!</v>
      </c>
      <c r="FL3" t="e">
        <f>AND(List1!E69,"AAAAAH2d26c=")</f>
        <v>#VALUE!</v>
      </c>
      <c r="FM3" t="e">
        <f>AND(List1!F69,"AAAAAH2d26g=")</f>
        <v>#VALUE!</v>
      </c>
      <c r="FN3" t="e">
        <f>AND(List1!G69,"AAAAAH2d26k=")</f>
        <v>#VALUE!</v>
      </c>
      <c r="FO3" t="e">
        <f>AND(List1!H69,"AAAAAH2d26o=")</f>
        <v>#VALUE!</v>
      </c>
      <c r="FP3" t="e">
        <f>AND(List1!I69,"AAAAAH2d26s=")</f>
        <v>#VALUE!</v>
      </c>
      <c r="FQ3">
        <f>IF(List1!70:70,"AAAAAH2d26w=",0)</f>
        <v>0</v>
      </c>
      <c r="FR3" t="e">
        <f>AND(List1!A70,"AAAAAH2d260=")</f>
        <v>#VALUE!</v>
      </c>
      <c r="FS3" t="e">
        <f>AND(List1!B70,"AAAAAH2d264=")</f>
        <v>#VALUE!</v>
      </c>
      <c r="FT3" t="e">
        <f>AND(List1!C70,"AAAAAH2d268=")</f>
        <v>#VALUE!</v>
      </c>
      <c r="FU3" t="e">
        <f>AND(List1!E70,"AAAAAH2d27A=")</f>
        <v>#VALUE!</v>
      </c>
      <c r="FV3" t="e">
        <f>AND(List1!F70,"AAAAAH2d27E=")</f>
        <v>#VALUE!</v>
      </c>
      <c r="FW3" t="e">
        <f>AND(List1!G70,"AAAAAH2d27I=")</f>
        <v>#VALUE!</v>
      </c>
      <c r="FX3" t="e">
        <f>AND(List1!H70,"AAAAAH2d27M=")</f>
        <v>#VALUE!</v>
      </c>
      <c r="FY3" t="e">
        <f>AND(List1!I70,"AAAAAH2d27Q=")</f>
        <v>#VALUE!</v>
      </c>
      <c r="FZ3">
        <f>IF(List1!71:71,"AAAAAH2d27U=",0)</f>
        <v>0</v>
      </c>
      <c r="GA3" t="e">
        <f>AND(List1!A73,"AAAAAH2d27Y=")</f>
        <v>#VALUE!</v>
      </c>
      <c r="GB3" t="e">
        <f>AND(List1!B73,"AAAAAH2d27c=")</f>
        <v>#VALUE!</v>
      </c>
      <c r="GC3" t="e">
        <f>AND(List1!C73,"AAAAAH2d27g=")</f>
        <v>#VALUE!</v>
      </c>
      <c r="GD3" t="e">
        <f>AND(List1!E73,"AAAAAH2d27k=")</f>
        <v>#VALUE!</v>
      </c>
      <c r="GE3" t="e">
        <f>AND(List1!F73,"AAAAAH2d27o=")</f>
        <v>#VALUE!</v>
      </c>
      <c r="GF3" t="e">
        <f>AND(List1!G73,"AAAAAH2d27s=")</f>
        <v>#VALUE!</v>
      </c>
      <c r="GG3" t="e">
        <f>AND(List1!H73,"AAAAAH2d27w=")</f>
        <v>#VALUE!</v>
      </c>
      <c r="GH3" t="e">
        <f>AND(List1!I73,"AAAAAH2d270=")</f>
        <v>#VALUE!</v>
      </c>
      <c r="GI3">
        <f>IF(List1!72:72,"AAAAAH2d274=",0)</f>
        <v>0</v>
      </c>
      <c r="GJ3" t="e">
        <f>AND(List1!A74,"AAAAAH2d278=")</f>
        <v>#VALUE!</v>
      </c>
      <c r="GK3" t="e">
        <f>AND(List1!B74,"AAAAAH2d28A=")</f>
        <v>#VALUE!</v>
      </c>
      <c r="GL3" t="e">
        <f>AND(List1!C74,"AAAAAH2d28E=")</f>
        <v>#VALUE!</v>
      </c>
      <c r="GM3" t="e">
        <f>AND(List1!E74,"AAAAAH2d28I=")</f>
        <v>#VALUE!</v>
      </c>
      <c r="GN3" t="e">
        <f>AND(List1!F74,"AAAAAH2d28M=")</f>
        <v>#VALUE!</v>
      </c>
      <c r="GO3" t="e">
        <f>AND(List1!G74,"AAAAAH2d28Q=")</f>
        <v>#VALUE!</v>
      </c>
      <c r="GP3" t="e">
        <f>AND(List1!H74,"AAAAAH2d28U=")</f>
        <v>#VALUE!</v>
      </c>
      <c r="GQ3" t="e">
        <f>AND(List1!I74,"AAAAAH2d28Y=")</f>
        <v>#VALUE!</v>
      </c>
      <c r="GR3">
        <f>IF(List1!73:73,"AAAAAH2d28c=",0)</f>
        <v>0</v>
      </c>
      <c r="GS3" t="e">
        <f>AND(List1!A75,"AAAAAH2d28g=")</f>
        <v>#VALUE!</v>
      </c>
      <c r="GT3" t="e">
        <f>AND(List1!B75,"AAAAAH2d28k=")</f>
        <v>#VALUE!</v>
      </c>
      <c r="GU3" t="e">
        <f>AND(List1!C75,"AAAAAH2d28o=")</f>
        <v>#VALUE!</v>
      </c>
      <c r="GV3" t="e">
        <f>AND(List1!E75,"AAAAAH2d28s=")</f>
        <v>#VALUE!</v>
      </c>
      <c r="GW3" t="e">
        <f>AND(List1!F75,"AAAAAH2d28w=")</f>
        <v>#VALUE!</v>
      </c>
      <c r="GX3" t="e">
        <f>AND(List1!G75,"AAAAAH2d280=")</f>
        <v>#VALUE!</v>
      </c>
      <c r="GY3" t="e">
        <f>AND(List1!H75,"AAAAAH2d284=")</f>
        <v>#VALUE!</v>
      </c>
      <c r="GZ3" t="e">
        <f>AND(List1!I75,"AAAAAH2d288=")</f>
        <v>#VALUE!</v>
      </c>
      <c r="HA3">
        <f>IF(List1!74:74,"AAAAAH2d29A=",0)</f>
        <v>0</v>
      </c>
      <c r="HB3" t="e">
        <f>AND(List1!A76,"AAAAAH2d29E=")</f>
        <v>#VALUE!</v>
      </c>
      <c r="HC3" t="e">
        <f>AND(List1!B76,"AAAAAH2d29I=")</f>
        <v>#VALUE!</v>
      </c>
      <c r="HD3" t="e">
        <f>AND(List1!C76,"AAAAAH2d29M=")</f>
        <v>#VALUE!</v>
      </c>
      <c r="HE3" t="e">
        <f>AND(List1!E76,"AAAAAH2d29Q=")</f>
        <v>#VALUE!</v>
      </c>
      <c r="HF3" t="e">
        <f>AND(List1!F76,"AAAAAH2d29U=")</f>
        <v>#VALUE!</v>
      </c>
      <c r="HG3" t="e">
        <f>AND(List1!G76,"AAAAAH2d29Y=")</f>
        <v>#VALUE!</v>
      </c>
      <c r="HH3" t="e">
        <f>AND(List1!H76,"AAAAAH2d29c=")</f>
        <v>#VALUE!</v>
      </c>
      <c r="HI3" t="e">
        <f>AND(List1!I76,"AAAAAH2d29g=")</f>
        <v>#VALUE!</v>
      </c>
      <c r="HJ3">
        <f>IF(List1!75:75,"AAAAAH2d29k=",0)</f>
        <v>0</v>
      </c>
      <c r="HK3" t="e">
        <f>AND(List1!A77,"AAAAAH2d29o=")</f>
        <v>#VALUE!</v>
      </c>
      <c r="HL3" t="e">
        <f>AND(List1!B77,"AAAAAH2d29s=")</f>
        <v>#VALUE!</v>
      </c>
      <c r="HM3" t="e">
        <f>AND(List1!C77,"AAAAAH2d29w=")</f>
        <v>#VALUE!</v>
      </c>
      <c r="HN3" t="e">
        <f>AND(List1!E77,"AAAAAH2d290=")</f>
        <v>#VALUE!</v>
      </c>
      <c r="HO3" t="e">
        <f>AND(List1!F77,"AAAAAH2d294=")</f>
        <v>#VALUE!</v>
      </c>
      <c r="HP3" t="e">
        <f>AND(List1!G77,"AAAAAH2d298=")</f>
        <v>#VALUE!</v>
      </c>
      <c r="HQ3" t="e">
        <f>AND(List1!H77,"AAAAAH2d2+A=")</f>
        <v>#VALUE!</v>
      </c>
      <c r="HR3" t="e">
        <f>AND(List1!I77,"AAAAAH2d2+E=")</f>
        <v>#VALUE!</v>
      </c>
      <c r="HS3">
        <f>IF(List1!76:76,"AAAAAH2d2+I=",0)</f>
        <v>0</v>
      </c>
      <c r="HT3" t="e">
        <f>AND(List1!A78,"AAAAAH2d2+M=")</f>
        <v>#VALUE!</v>
      </c>
      <c r="HU3" t="e">
        <f>AND(List1!B78,"AAAAAH2d2+Q=")</f>
        <v>#VALUE!</v>
      </c>
      <c r="HV3" t="e">
        <f>AND(List1!C78,"AAAAAH2d2+U=")</f>
        <v>#VALUE!</v>
      </c>
      <c r="HW3" t="e">
        <f>AND(List1!E78,"AAAAAH2d2+Y=")</f>
        <v>#VALUE!</v>
      </c>
      <c r="HX3" t="e">
        <f>AND(List1!F78,"AAAAAH2d2+c=")</f>
        <v>#VALUE!</v>
      </c>
      <c r="HY3" t="e">
        <f>AND(List1!G78,"AAAAAH2d2+g=")</f>
        <v>#VALUE!</v>
      </c>
      <c r="HZ3" t="e">
        <f>AND(List1!H78,"AAAAAH2d2+k=")</f>
        <v>#VALUE!</v>
      </c>
      <c r="IA3" t="e">
        <f>AND(List1!I78,"AAAAAH2d2+o=")</f>
        <v>#VALUE!</v>
      </c>
      <c r="IB3">
        <f>IF(List1!77:77,"AAAAAH2d2+s=",0)</f>
        <v>0</v>
      </c>
      <c r="IC3" t="e">
        <f>AND(List1!A79,"AAAAAH2d2+w=")</f>
        <v>#VALUE!</v>
      </c>
      <c r="ID3" t="e">
        <f>AND(List1!B79,"AAAAAH2d2+0=")</f>
        <v>#VALUE!</v>
      </c>
      <c r="IE3" t="e">
        <f>AND(List1!C79,"AAAAAH2d2+4=")</f>
        <v>#VALUE!</v>
      </c>
      <c r="IF3" t="e">
        <f>AND(List1!E79,"AAAAAH2d2+8=")</f>
        <v>#VALUE!</v>
      </c>
      <c r="IG3" t="e">
        <f>AND(List1!F79,"AAAAAH2d2/A=")</f>
        <v>#VALUE!</v>
      </c>
      <c r="IH3" t="e">
        <f>AND(List1!G79,"AAAAAH2d2/E=")</f>
        <v>#VALUE!</v>
      </c>
      <c r="II3" t="e">
        <f>AND(List1!H79,"AAAAAH2d2/I=")</f>
        <v>#VALUE!</v>
      </c>
      <c r="IJ3" t="e">
        <f>AND(List1!I79,"AAAAAH2d2/M=")</f>
        <v>#VALUE!</v>
      </c>
      <c r="IK3">
        <f>IF(List1!78:78,"AAAAAH2d2/Q=",0)</f>
        <v>0</v>
      </c>
      <c r="IL3" t="e">
        <f>AND(List1!A80,"AAAAAH2d2/U=")</f>
        <v>#VALUE!</v>
      </c>
      <c r="IM3" t="e">
        <f>AND(List1!B80,"AAAAAH2d2/Y=")</f>
        <v>#VALUE!</v>
      </c>
      <c r="IN3" t="e">
        <f>AND(List1!C80,"AAAAAH2d2/c=")</f>
        <v>#VALUE!</v>
      </c>
      <c r="IO3" t="e">
        <f>AND(List1!E80,"AAAAAH2d2/g=")</f>
        <v>#VALUE!</v>
      </c>
      <c r="IP3" t="e">
        <f>AND(List1!F80,"AAAAAH2d2/k=")</f>
        <v>#VALUE!</v>
      </c>
      <c r="IQ3" t="e">
        <f>AND(List1!G80,"AAAAAH2d2/o=")</f>
        <v>#VALUE!</v>
      </c>
      <c r="IR3" t="e">
        <f>AND(List1!H80,"AAAAAH2d2/s=")</f>
        <v>#VALUE!</v>
      </c>
      <c r="IS3" t="e">
        <f>AND(List1!I80,"AAAAAH2d2/w=")</f>
        <v>#VALUE!</v>
      </c>
      <c r="IT3">
        <f>IF(List1!79:79,"AAAAAH2d2/0=",0)</f>
        <v>0</v>
      </c>
      <c r="IU3" t="e">
        <f>AND(List1!A81,"AAAAAH2d2/4=")</f>
        <v>#VALUE!</v>
      </c>
      <c r="IV3" t="e">
        <f>AND(List1!B81,"AAAAAH2d2/8=")</f>
        <v>#VALUE!</v>
      </c>
    </row>
    <row r="4" spans="1:256" ht="12.75">
      <c r="A4" t="e">
        <f>AND(List1!C81,"AAAAAHeffwA=")</f>
        <v>#VALUE!</v>
      </c>
      <c r="B4" t="e">
        <f>AND(List1!E81,"AAAAAHeffwE=")</f>
        <v>#VALUE!</v>
      </c>
      <c r="C4" t="e">
        <f>AND(List1!F81,"AAAAAHeffwI=")</f>
        <v>#VALUE!</v>
      </c>
      <c r="D4" t="e">
        <f>AND(List1!G81,"AAAAAHeffwM=")</f>
        <v>#VALUE!</v>
      </c>
      <c r="E4" t="e">
        <f>AND(List1!H81,"AAAAAHeffwQ=")</f>
        <v>#VALUE!</v>
      </c>
      <c r="F4" t="e">
        <f>AND(List1!I81,"AAAAAHeffwU=")</f>
        <v>#VALUE!</v>
      </c>
      <c r="G4" t="str">
        <f>IF(List1!80:80,"AAAAAHeffwY=",0)</f>
        <v>AAAAAHeffwY=</v>
      </c>
      <c r="H4" t="e">
        <f>AND(List1!A82,"AAAAAHeffwc=")</f>
        <v>#VALUE!</v>
      </c>
      <c r="I4" t="e">
        <f>AND(List1!B82,"AAAAAHeffwg=")</f>
        <v>#VALUE!</v>
      </c>
      <c r="J4" t="e">
        <f>AND(List1!C82,"AAAAAHeffwk=")</f>
        <v>#VALUE!</v>
      </c>
      <c r="K4" t="e">
        <f>AND(List1!E82,"AAAAAHeffwo=")</f>
        <v>#VALUE!</v>
      </c>
      <c r="L4" t="e">
        <f>AND(List1!F82,"AAAAAHeffws=")</f>
        <v>#VALUE!</v>
      </c>
      <c r="M4" t="e">
        <f>AND(List1!G82,"AAAAAHeffww=")</f>
        <v>#VALUE!</v>
      </c>
      <c r="N4" t="e">
        <f>AND(List1!H82,"AAAAAHeffw0=")</f>
        <v>#VALUE!</v>
      </c>
      <c r="O4" t="e">
        <f>AND(List1!I82,"AAAAAHeffw4=")</f>
        <v>#VALUE!</v>
      </c>
      <c r="P4">
        <f>IF(List1!81:81,"AAAAAHeffw8=",0)</f>
        <v>0</v>
      </c>
      <c r="Q4" t="e">
        <f>AND(List1!A83,"AAAAAHeffxA=")</f>
        <v>#VALUE!</v>
      </c>
      <c r="R4" t="e">
        <f>AND(List1!B83,"AAAAAHeffxE=")</f>
        <v>#VALUE!</v>
      </c>
      <c r="S4" t="e">
        <f>AND(List1!C83,"AAAAAHeffxI=")</f>
        <v>#VALUE!</v>
      </c>
      <c r="T4" t="e">
        <f>AND(List1!E83,"AAAAAHeffxM=")</f>
        <v>#VALUE!</v>
      </c>
      <c r="U4" t="e">
        <f>AND(List1!F83,"AAAAAHeffxQ=")</f>
        <v>#VALUE!</v>
      </c>
      <c r="V4" t="e">
        <f>AND(List1!G83,"AAAAAHeffxU=")</f>
        <v>#VALUE!</v>
      </c>
      <c r="W4" t="e">
        <f>AND(List1!H83,"AAAAAHeffxY=")</f>
        <v>#VALUE!</v>
      </c>
      <c r="X4" t="e">
        <f>AND(List1!I83,"AAAAAHeffxc=")</f>
        <v>#VALUE!</v>
      </c>
      <c r="Y4">
        <f>IF(List1!82:82,"AAAAAHeffxg=",0)</f>
        <v>0</v>
      </c>
      <c r="Z4" t="e">
        <f>AND(List1!A84,"AAAAAHeffxk=")</f>
        <v>#VALUE!</v>
      </c>
      <c r="AA4" t="e">
        <f>AND(List1!B84,"AAAAAHeffxo=")</f>
        <v>#VALUE!</v>
      </c>
      <c r="AB4" t="e">
        <f>AND(List1!C84,"AAAAAHeffxs=")</f>
        <v>#VALUE!</v>
      </c>
      <c r="AC4" t="e">
        <f>AND(List1!E84,"AAAAAHeffxw=")</f>
        <v>#VALUE!</v>
      </c>
      <c r="AD4" t="e">
        <f>AND(List1!F84,"AAAAAHeffx0=")</f>
        <v>#VALUE!</v>
      </c>
      <c r="AE4" t="e">
        <f>AND(List1!G84,"AAAAAHeffx4=")</f>
        <v>#VALUE!</v>
      </c>
      <c r="AF4" t="e">
        <f>AND(List1!H84,"AAAAAHeffx8=")</f>
        <v>#VALUE!</v>
      </c>
      <c r="AG4" t="e">
        <f>AND(List1!I84,"AAAAAHeffyA=")</f>
        <v>#VALUE!</v>
      </c>
      <c r="AH4">
        <f>IF(List1!83:83,"AAAAAHeffyE=",0)</f>
        <v>0</v>
      </c>
      <c r="AI4" t="e">
        <f>AND(List1!A85,"AAAAAHeffyI=")</f>
        <v>#VALUE!</v>
      </c>
      <c r="AJ4" t="e">
        <f>AND(List1!B85,"AAAAAHeffyM=")</f>
        <v>#VALUE!</v>
      </c>
      <c r="AK4" t="e">
        <f>AND(List1!C85,"AAAAAHeffyQ=")</f>
        <v>#VALUE!</v>
      </c>
      <c r="AL4" t="e">
        <f>AND(List1!E85,"AAAAAHeffyU=")</f>
        <v>#VALUE!</v>
      </c>
      <c r="AM4" t="e">
        <f>AND(List1!F85,"AAAAAHeffyY=")</f>
        <v>#VALUE!</v>
      </c>
      <c r="AN4" t="e">
        <f>AND(List1!G85,"AAAAAHeffyc=")</f>
        <v>#VALUE!</v>
      </c>
      <c r="AO4" t="e">
        <f>AND(List1!H85,"AAAAAHeffyg=")</f>
        <v>#VALUE!</v>
      </c>
      <c r="AP4" t="e">
        <f>AND(List1!I85,"AAAAAHeffyk=")</f>
        <v>#VALUE!</v>
      </c>
      <c r="AQ4">
        <f>IF(List1!84:84,"AAAAAHeffyo=",0)</f>
        <v>0</v>
      </c>
      <c r="AR4" t="e">
        <f>AND(List1!A86,"AAAAAHeffys=")</f>
        <v>#VALUE!</v>
      </c>
      <c r="AS4" t="e">
        <f>AND(List1!B86,"AAAAAHeffyw=")</f>
        <v>#VALUE!</v>
      </c>
      <c r="AT4" t="e">
        <f>AND(List1!C86,"AAAAAHeffy0=")</f>
        <v>#VALUE!</v>
      </c>
      <c r="AU4" t="e">
        <f>AND(List1!E86,"AAAAAHeffy4=")</f>
        <v>#VALUE!</v>
      </c>
      <c r="AV4" t="e">
        <f>AND(List1!F86,"AAAAAHeffy8=")</f>
        <v>#VALUE!</v>
      </c>
      <c r="AW4" t="e">
        <f>AND(List1!G86,"AAAAAHeffzA=")</f>
        <v>#VALUE!</v>
      </c>
      <c r="AX4" t="e">
        <f>AND(List1!H86,"AAAAAHeffzE=")</f>
        <v>#VALUE!</v>
      </c>
      <c r="AY4" t="e">
        <f>AND(List1!I86,"AAAAAHeffzI=")</f>
        <v>#VALUE!</v>
      </c>
      <c r="AZ4">
        <f>IF(List1!85:85,"AAAAAHeffzM=",0)</f>
        <v>0</v>
      </c>
      <c r="BA4" t="e">
        <f>AND(List1!A87,"AAAAAHeffzQ=")</f>
        <v>#VALUE!</v>
      </c>
      <c r="BB4" t="e">
        <f>AND(List1!B87,"AAAAAHeffzU=")</f>
        <v>#VALUE!</v>
      </c>
      <c r="BC4" t="e">
        <f>AND(List1!C87,"AAAAAHeffzY=")</f>
        <v>#VALUE!</v>
      </c>
      <c r="BD4" t="e">
        <f>AND(List1!E87,"AAAAAHeffzc=")</f>
        <v>#VALUE!</v>
      </c>
      <c r="BE4" t="e">
        <f>AND(List1!F87,"AAAAAHeffzg=")</f>
        <v>#VALUE!</v>
      </c>
      <c r="BF4" t="e">
        <f>AND(List1!G87,"AAAAAHeffzk=")</f>
        <v>#VALUE!</v>
      </c>
      <c r="BG4" t="e">
        <f>AND(List1!H87,"AAAAAHeffzo=")</f>
        <v>#VALUE!</v>
      </c>
      <c r="BH4" t="e">
        <f>AND(List1!I87,"AAAAAHeffzs=")</f>
        <v>#VALUE!</v>
      </c>
      <c r="BI4">
        <f>IF(List1!86:86,"AAAAAHeffzw=",0)</f>
        <v>0</v>
      </c>
      <c r="BJ4" t="e">
        <f>AND(List1!A88,"AAAAAHeffz0=")</f>
        <v>#VALUE!</v>
      </c>
      <c r="BK4" t="e">
        <f>AND(List1!B88,"AAAAAHeffz4=")</f>
        <v>#VALUE!</v>
      </c>
      <c r="BL4" t="e">
        <f>AND(List1!C88,"AAAAAHeffz8=")</f>
        <v>#VALUE!</v>
      </c>
      <c r="BM4" t="e">
        <f>AND(List1!E88,"AAAAAHeff0A=")</f>
        <v>#VALUE!</v>
      </c>
      <c r="BN4" t="e">
        <f>AND(List1!F88,"AAAAAHeff0E=")</f>
        <v>#VALUE!</v>
      </c>
      <c r="BO4" t="e">
        <f>AND(List1!G88,"AAAAAHeff0I=")</f>
        <v>#VALUE!</v>
      </c>
      <c r="BP4" t="e">
        <f>AND(List1!H88,"AAAAAHeff0M=")</f>
        <v>#VALUE!</v>
      </c>
      <c r="BQ4" t="e">
        <f>AND(List1!I88,"AAAAAHeff0Q=")</f>
        <v>#VALUE!</v>
      </c>
      <c r="BR4">
        <f>IF(List1!87:87,"AAAAAHeff0U=",0)</f>
        <v>0</v>
      </c>
      <c r="BS4" t="e">
        <f>AND(List1!A89,"AAAAAHeff0Y=")</f>
        <v>#VALUE!</v>
      </c>
      <c r="BT4" t="e">
        <f>AND(List1!B89,"AAAAAHeff0c=")</f>
        <v>#VALUE!</v>
      </c>
      <c r="BU4" t="e">
        <f>AND(List1!C89,"AAAAAHeff0g=")</f>
        <v>#VALUE!</v>
      </c>
      <c r="BV4" t="e">
        <f>AND(List1!E89,"AAAAAHeff0k=")</f>
        <v>#VALUE!</v>
      </c>
      <c r="BW4" t="e">
        <f>AND(List1!F89,"AAAAAHeff0o=")</f>
        <v>#VALUE!</v>
      </c>
      <c r="BX4" t="e">
        <f>AND(List1!G89,"AAAAAHeff0s=")</f>
        <v>#VALUE!</v>
      </c>
      <c r="BY4" t="e">
        <f>AND(List1!H89,"AAAAAHeff0w=")</f>
        <v>#VALUE!</v>
      </c>
      <c r="BZ4" t="e">
        <f>AND(List1!I89,"AAAAAHeff00=")</f>
        <v>#VALUE!</v>
      </c>
      <c r="CA4">
        <f>IF(List1!88:88,"AAAAAHeff04=",0)</f>
        <v>0</v>
      </c>
      <c r="CB4" t="e">
        <f>AND(List1!A90,"AAAAAHeff08=")</f>
        <v>#VALUE!</v>
      </c>
      <c r="CC4" t="e">
        <f>AND(List1!B90,"AAAAAHeff1A=")</f>
        <v>#VALUE!</v>
      </c>
      <c r="CD4" t="e">
        <f>AND(List1!C90,"AAAAAHeff1E=")</f>
        <v>#VALUE!</v>
      </c>
      <c r="CE4" t="e">
        <f>AND(List1!E90,"AAAAAHeff1I=")</f>
        <v>#VALUE!</v>
      </c>
      <c r="CF4" t="e">
        <f>AND(List1!F90,"AAAAAHeff1M=")</f>
        <v>#VALUE!</v>
      </c>
      <c r="CG4" t="e">
        <f>AND(List1!G90,"AAAAAHeff1Q=")</f>
        <v>#VALUE!</v>
      </c>
      <c r="CH4" t="e">
        <f>AND(List1!H90,"AAAAAHeff1U=")</f>
        <v>#VALUE!</v>
      </c>
      <c r="CI4" t="e">
        <f>AND(List1!I90,"AAAAAHeff1Y=")</f>
        <v>#VALUE!</v>
      </c>
      <c r="CJ4">
        <f>IF(List1!89:89,"AAAAAHeff1c=",0)</f>
        <v>0</v>
      </c>
      <c r="CK4" t="e">
        <f>AND(List1!A91,"AAAAAHeff1g=")</f>
        <v>#VALUE!</v>
      </c>
      <c r="CL4" t="e">
        <f>AND(List1!B91,"AAAAAHeff1k=")</f>
        <v>#VALUE!</v>
      </c>
      <c r="CM4" t="e">
        <f>AND(List1!C91,"AAAAAHeff1o=")</f>
        <v>#VALUE!</v>
      </c>
      <c r="CN4" t="e">
        <f>AND(List1!E91,"AAAAAHeff1s=")</f>
        <v>#VALUE!</v>
      </c>
      <c r="CO4" t="e">
        <f>AND(List1!F91,"AAAAAHeff1w=")</f>
        <v>#VALUE!</v>
      </c>
      <c r="CP4" t="e">
        <f>AND(List1!G91,"AAAAAHeff10=")</f>
        <v>#VALUE!</v>
      </c>
      <c r="CQ4" t="e">
        <f>AND(List1!H91,"AAAAAHeff14=")</f>
        <v>#VALUE!</v>
      </c>
      <c r="CR4" t="e">
        <f>AND(List1!I91,"AAAAAHeff18=")</f>
        <v>#VALUE!</v>
      </c>
      <c r="CS4">
        <f>IF(List1!90:90,"AAAAAHeff2A=",0)</f>
        <v>0</v>
      </c>
      <c r="CT4" t="e">
        <f>AND(List1!A92,"AAAAAHeff2E=")</f>
        <v>#VALUE!</v>
      </c>
      <c r="CU4" t="e">
        <f>AND(List1!B92,"AAAAAHeff2I=")</f>
        <v>#VALUE!</v>
      </c>
      <c r="CV4" t="e">
        <f>AND(List1!C92,"AAAAAHeff2M=")</f>
        <v>#VALUE!</v>
      </c>
      <c r="CW4" t="e">
        <f>AND(List1!E92,"AAAAAHeff2Q=")</f>
        <v>#VALUE!</v>
      </c>
      <c r="CX4" t="e">
        <f>AND(List1!F92,"AAAAAHeff2U=")</f>
        <v>#VALUE!</v>
      </c>
      <c r="CY4" t="e">
        <f>AND(List1!G92,"AAAAAHeff2Y=")</f>
        <v>#VALUE!</v>
      </c>
      <c r="CZ4" t="e">
        <f>AND(List1!H92,"AAAAAHeff2c=")</f>
        <v>#VALUE!</v>
      </c>
      <c r="DA4" t="e">
        <f>AND(List1!I92,"AAAAAHeff2g=")</f>
        <v>#VALUE!</v>
      </c>
      <c r="DB4" t="e">
        <f>IF(List1!#REF!,"AAAAAHeff2k=",0)</f>
        <v>#REF!</v>
      </c>
      <c r="DC4" t="e">
        <f>AND(List1!#REF!,"AAAAAHeff2o=")</f>
        <v>#REF!</v>
      </c>
      <c r="DD4" t="e">
        <f>AND(List1!#REF!,"AAAAAHeff2s=")</f>
        <v>#REF!</v>
      </c>
      <c r="DE4" t="e">
        <f>AND(List1!#REF!,"AAAAAHeff2w=")</f>
        <v>#REF!</v>
      </c>
      <c r="DF4" t="e">
        <f>AND(List1!#REF!,"AAAAAHeff20=")</f>
        <v>#REF!</v>
      </c>
      <c r="DG4" t="e">
        <f>AND(List1!#REF!,"AAAAAHeff24=")</f>
        <v>#REF!</v>
      </c>
      <c r="DH4" t="e">
        <f>AND(List1!#REF!,"AAAAAHeff28=")</f>
        <v>#REF!</v>
      </c>
      <c r="DI4" t="e">
        <f>AND(List1!#REF!,"AAAAAHeff3A=")</f>
        <v>#REF!</v>
      </c>
      <c r="DJ4" t="e">
        <f>AND(List1!#REF!,"AAAAAHeff3E=")</f>
        <v>#REF!</v>
      </c>
      <c r="DK4" t="e">
        <f>IF(List1!#REF!,"AAAAAHeff3I=",0)</f>
        <v>#REF!</v>
      </c>
      <c r="DL4" t="e">
        <f>AND(List1!#REF!,"AAAAAHeff3M=")</f>
        <v>#REF!</v>
      </c>
      <c r="DM4" t="e">
        <f>AND(List1!#REF!,"AAAAAHeff3Q=")</f>
        <v>#REF!</v>
      </c>
      <c r="DN4" t="e">
        <f>AND(List1!#REF!,"AAAAAHeff3U=")</f>
        <v>#REF!</v>
      </c>
      <c r="DO4" t="e">
        <f>AND(List1!#REF!,"AAAAAHeff3Y=")</f>
        <v>#REF!</v>
      </c>
      <c r="DP4" t="e">
        <f>AND(List1!#REF!,"AAAAAHeff3c=")</f>
        <v>#REF!</v>
      </c>
      <c r="DQ4" t="e">
        <f>AND(List1!#REF!,"AAAAAHeff3g=")</f>
        <v>#REF!</v>
      </c>
      <c r="DR4" t="e">
        <f>AND(List1!#REF!,"AAAAAHeff3k=")</f>
        <v>#REF!</v>
      </c>
      <c r="DS4" t="e">
        <f>AND(List1!#REF!,"AAAAAHeff3o=")</f>
        <v>#REF!</v>
      </c>
      <c r="DT4">
        <f>IF(List1!91:91,"AAAAAHeff3s=",0)</f>
        <v>0</v>
      </c>
      <c r="DU4" t="e">
        <f>AND(List1!A93,"AAAAAHeff3w=")</f>
        <v>#VALUE!</v>
      </c>
      <c r="DV4" t="e">
        <f>AND(List1!B93,"AAAAAHeff30=")</f>
        <v>#VALUE!</v>
      </c>
      <c r="DW4" t="e">
        <f>AND(List1!C93,"AAAAAHeff34=")</f>
        <v>#VALUE!</v>
      </c>
      <c r="DX4" t="e">
        <f>AND(List1!E93,"AAAAAHeff38=")</f>
        <v>#VALUE!</v>
      </c>
      <c r="DY4" t="e">
        <f>AND(List1!F93,"AAAAAHeff4A=")</f>
        <v>#VALUE!</v>
      </c>
      <c r="DZ4" t="e">
        <f>AND(List1!G93,"AAAAAHeff4E=")</f>
        <v>#VALUE!</v>
      </c>
      <c r="EA4" t="e">
        <f>AND(List1!H93,"AAAAAHeff4I=")</f>
        <v>#VALUE!</v>
      </c>
      <c r="EB4" t="e">
        <f>AND(List1!I93,"AAAAAHeff4M=")</f>
        <v>#VALUE!</v>
      </c>
      <c r="EC4">
        <f>IF(List1!92:92,"AAAAAHeff4Q=",0)</f>
        <v>0</v>
      </c>
      <c r="ED4" t="e">
        <f>AND(List1!A94,"AAAAAHeff4U=")</f>
        <v>#VALUE!</v>
      </c>
      <c r="EE4" t="e">
        <f>AND(List1!B94,"AAAAAHeff4Y=")</f>
        <v>#VALUE!</v>
      </c>
      <c r="EF4" t="e">
        <f>AND(List1!C94,"AAAAAHeff4c=")</f>
        <v>#VALUE!</v>
      </c>
      <c r="EG4" t="e">
        <f>AND(List1!E94,"AAAAAHeff4g=")</f>
        <v>#VALUE!</v>
      </c>
      <c r="EH4" t="e">
        <f>AND(List1!F94,"AAAAAHeff4k=")</f>
        <v>#VALUE!</v>
      </c>
      <c r="EI4" t="e">
        <f>AND(List1!G94,"AAAAAHeff4o=")</f>
        <v>#VALUE!</v>
      </c>
      <c r="EJ4" t="e">
        <f>AND(List1!H94,"AAAAAHeff4s=")</f>
        <v>#VALUE!</v>
      </c>
      <c r="EK4" t="e">
        <f>AND(List1!I94,"AAAAAHeff4w=")</f>
        <v>#VALUE!</v>
      </c>
      <c r="EL4">
        <f>IF(List1!93:93,"AAAAAHeff40=",0)</f>
        <v>0</v>
      </c>
      <c r="EM4" t="e">
        <f>AND(List1!A95,"AAAAAHeff44=")</f>
        <v>#VALUE!</v>
      </c>
      <c r="EN4" t="e">
        <f>AND(List1!B95,"AAAAAHeff48=")</f>
        <v>#VALUE!</v>
      </c>
      <c r="EO4" t="e">
        <f>AND(List1!C95,"AAAAAHeff5A=")</f>
        <v>#VALUE!</v>
      </c>
      <c r="EP4" t="e">
        <f>AND(List1!E95,"AAAAAHeff5E=")</f>
        <v>#VALUE!</v>
      </c>
      <c r="EQ4" t="e">
        <f>AND(List1!F95,"AAAAAHeff5I=")</f>
        <v>#VALUE!</v>
      </c>
      <c r="ER4" t="e">
        <f>AND(List1!G95,"AAAAAHeff5M=")</f>
        <v>#VALUE!</v>
      </c>
      <c r="ES4" t="e">
        <f>AND(List1!H95,"AAAAAHeff5Q=")</f>
        <v>#VALUE!</v>
      </c>
      <c r="ET4" t="e">
        <f>AND(List1!I95,"AAAAAHeff5U=")</f>
        <v>#VALUE!</v>
      </c>
      <c r="EU4">
        <f>IF(List1!94:94,"AAAAAHeff5Y=",0)</f>
        <v>0</v>
      </c>
      <c r="EV4" t="e">
        <f>AND(List1!A96,"AAAAAHeff5c=")</f>
        <v>#VALUE!</v>
      </c>
      <c r="EW4" t="e">
        <f>AND(List1!B96,"AAAAAHeff5g=")</f>
        <v>#VALUE!</v>
      </c>
      <c r="EX4" t="e">
        <f>AND(List1!C96,"AAAAAHeff5k=")</f>
        <v>#VALUE!</v>
      </c>
      <c r="EY4" t="e">
        <f>AND(List1!E96,"AAAAAHeff5o=")</f>
        <v>#VALUE!</v>
      </c>
      <c r="EZ4" t="e">
        <f>AND(List1!F96,"AAAAAHeff5s=")</f>
        <v>#VALUE!</v>
      </c>
      <c r="FA4" t="e">
        <f>AND(List1!G96,"AAAAAHeff5w=")</f>
        <v>#VALUE!</v>
      </c>
      <c r="FB4" t="e">
        <f>AND(List1!H96,"AAAAAHeff50=")</f>
        <v>#VALUE!</v>
      </c>
      <c r="FC4" t="e">
        <f>AND(List1!I96,"AAAAAHeff54=")</f>
        <v>#VALUE!</v>
      </c>
      <c r="FD4">
        <f>IF(List1!95:95,"AAAAAHeff58=",0)</f>
        <v>0</v>
      </c>
      <c r="FE4" t="e">
        <f>AND(List1!A97,"AAAAAHeff6A=")</f>
        <v>#VALUE!</v>
      </c>
      <c r="FF4" t="e">
        <f>AND(List1!B97,"AAAAAHeff6E=")</f>
        <v>#VALUE!</v>
      </c>
      <c r="FG4" t="e">
        <f>AND(List1!C97,"AAAAAHeff6I=")</f>
        <v>#VALUE!</v>
      </c>
      <c r="FH4" t="e">
        <f>AND(List1!E97,"AAAAAHeff6M=")</f>
        <v>#VALUE!</v>
      </c>
      <c r="FI4" t="e">
        <f>AND(List1!F97,"AAAAAHeff6Q=")</f>
        <v>#VALUE!</v>
      </c>
      <c r="FJ4" t="e">
        <f>AND(List1!G97,"AAAAAHeff6U=")</f>
        <v>#VALUE!</v>
      </c>
      <c r="FK4" t="e">
        <f>AND(List1!H97,"AAAAAHeff6Y=")</f>
        <v>#VALUE!</v>
      </c>
      <c r="FL4" t="e">
        <f>AND(List1!I97,"AAAAAHeff6c=")</f>
        <v>#VALUE!</v>
      </c>
      <c r="FM4">
        <f>IF(List1!96:96,"AAAAAHeff6g=",0)</f>
        <v>0</v>
      </c>
      <c r="FN4" t="e">
        <f>AND(List1!A98,"AAAAAHeff6k=")</f>
        <v>#VALUE!</v>
      </c>
      <c r="FO4" t="e">
        <f>AND(List1!B98,"AAAAAHeff6o=")</f>
        <v>#VALUE!</v>
      </c>
      <c r="FP4" t="e">
        <f>AND(List1!C98,"AAAAAHeff6s=")</f>
        <v>#VALUE!</v>
      </c>
      <c r="FQ4" t="e">
        <f>AND(List1!E98,"AAAAAHeff6w=")</f>
        <v>#VALUE!</v>
      </c>
      <c r="FR4" t="e">
        <f>AND(List1!F98,"AAAAAHeff60=")</f>
        <v>#VALUE!</v>
      </c>
      <c r="FS4" t="e">
        <f>AND(List1!G98,"AAAAAHeff64=")</f>
        <v>#VALUE!</v>
      </c>
      <c r="FT4" t="e">
        <f>AND(List1!H98,"AAAAAHeff68=")</f>
        <v>#VALUE!</v>
      </c>
      <c r="FU4" t="e">
        <f>AND(List1!I98,"AAAAAHeff7A=")</f>
        <v>#VALUE!</v>
      </c>
      <c r="FV4">
        <f>IF(List1!97:97,"AAAAAHeff7E=",0)</f>
        <v>0</v>
      </c>
      <c r="FW4" t="e">
        <f>AND(List1!A99,"AAAAAHeff7I=")</f>
        <v>#VALUE!</v>
      </c>
      <c r="FX4" t="e">
        <f>AND(List1!B99,"AAAAAHeff7M=")</f>
        <v>#VALUE!</v>
      </c>
      <c r="FY4" t="e">
        <f>AND(List1!C99,"AAAAAHeff7Q=")</f>
        <v>#VALUE!</v>
      </c>
      <c r="FZ4" t="e">
        <f>AND(List1!E99,"AAAAAHeff7U=")</f>
        <v>#VALUE!</v>
      </c>
      <c r="GA4" t="e">
        <f>AND(List1!F99,"AAAAAHeff7Y=")</f>
        <v>#VALUE!</v>
      </c>
      <c r="GB4" t="e">
        <f>AND(List1!G99,"AAAAAHeff7c=")</f>
        <v>#VALUE!</v>
      </c>
      <c r="GC4" t="e">
        <f>AND(List1!H99,"AAAAAHeff7g=")</f>
        <v>#VALUE!</v>
      </c>
      <c r="GD4" t="e">
        <f>AND(List1!I99,"AAAAAHeff7k=")</f>
        <v>#VALUE!</v>
      </c>
      <c r="GE4">
        <f>IF(List1!98:98,"AAAAAHeff7o=",0)</f>
        <v>0</v>
      </c>
      <c r="GF4" t="e">
        <f>AND(List1!A100,"AAAAAHeff7s=")</f>
        <v>#VALUE!</v>
      </c>
      <c r="GG4" t="e">
        <f>AND(List1!B100,"AAAAAHeff7w=")</f>
        <v>#VALUE!</v>
      </c>
      <c r="GH4" t="e">
        <f>AND(List1!C100,"AAAAAHeff70=")</f>
        <v>#VALUE!</v>
      </c>
      <c r="GI4" t="e">
        <f>AND(List1!E100,"AAAAAHeff74=")</f>
        <v>#VALUE!</v>
      </c>
      <c r="GJ4" t="e">
        <f>AND(List1!F100,"AAAAAHeff78=")</f>
        <v>#VALUE!</v>
      </c>
      <c r="GK4" t="e">
        <f>AND(List1!G100,"AAAAAHeff8A=")</f>
        <v>#VALUE!</v>
      </c>
      <c r="GL4" t="e">
        <f>AND(List1!H100,"AAAAAHeff8E=")</f>
        <v>#VALUE!</v>
      </c>
      <c r="GM4" t="e">
        <f>AND(List1!I100,"AAAAAHeff8I=")</f>
        <v>#VALUE!</v>
      </c>
      <c r="GN4">
        <f>IF(List1!99:99,"AAAAAHeff8M=",0)</f>
        <v>0</v>
      </c>
      <c r="GO4" t="e">
        <f>AND(List1!A101,"AAAAAHeff8Q=")</f>
        <v>#VALUE!</v>
      </c>
      <c r="GP4" t="e">
        <f>AND(List1!B101,"AAAAAHeff8U=")</f>
        <v>#VALUE!</v>
      </c>
      <c r="GQ4" t="e">
        <f>AND(List1!C101,"AAAAAHeff8Y=")</f>
        <v>#VALUE!</v>
      </c>
      <c r="GR4" t="e">
        <f>AND(List1!E101,"AAAAAHeff8c=")</f>
        <v>#VALUE!</v>
      </c>
      <c r="GS4" t="e">
        <f>AND(List1!F101,"AAAAAHeff8g=")</f>
        <v>#VALUE!</v>
      </c>
      <c r="GT4" t="e">
        <f>AND(List1!G101,"AAAAAHeff8k=")</f>
        <v>#VALUE!</v>
      </c>
      <c r="GU4" t="e">
        <f>AND(List1!H101,"AAAAAHeff8o=")</f>
        <v>#VALUE!</v>
      </c>
      <c r="GV4" t="e">
        <f>AND(List1!I101,"AAAAAHeff8s=")</f>
        <v>#VALUE!</v>
      </c>
      <c r="GW4">
        <f>IF(List1!100:100,"AAAAAHeff8w=",0)</f>
        <v>0</v>
      </c>
      <c r="GX4" t="e">
        <f>AND(List1!A102,"AAAAAHeff80=")</f>
        <v>#VALUE!</v>
      </c>
      <c r="GY4" t="e">
        <f>AND(List1!B102,"AAAAAHeff84=")</f>
        <v>#VALUE!</v>
      </c>
      <c r="GZ4" t="e">
        <f>AND(List1!C102,"AAAAAHeff88=")</f>
        <v>#VALUE!</v>
      </c>
      <c r="HA4" t="e">
        <f>AND(List1!E102,"AAAAAHeff9A=")</f>
        <v>#VALUE!</v>
      </c>
      <c r="HB4" t="e">
        <f>AND(List1!F102,"AAAAAHeff9E=")</f>
        <v>#VALUE!</v>
      </c>
      <c r="HC4" t="e">
        <f>AND(List1!G102,"AAAAAHeff9I=")</f>
        <v>#VALUE!</v>
      </c>
      <c r="HD4" t="e">
        <f>AND(List1!H102,"AAAAAHeff9M=")</f>
        <v>#VALUE!</v>
      </c>
      <c r="HE4" t="e">
        <f>AND(List1!I102,"AAAAAHeff9Q=")</f>
        <v>#VALUE!</v>
      </c>
      <c r="HF4">
        <f>IF(List1!101:101,"AAAAAHeff9U=",0)</f>
        <v>0</v>
      </c>
      <c r="HG4" t="e">
        <f>AND(List1!A103,"AAAAAHeff9Y=")</f>
        <v>#VALUE!</v>
      </c>
      <c r="HH4" t="e">
        <f>AND(List1!B103,"AAAAAHeff9c=")</f>
        <v>#VALUE!</v>
      </c>
      <c r="HI4" t="e">
        <f>AND(List1!C103,"AAAAAHeff9g=")</f>
        <v>#VALUE!</v>
      </c>
      <c r="HJ4" t="e">
        <f>AND(List1!E103,"AAAAAHeff9k=")</f>
        <v>#VALUE!</v>
      </c>
      <c r="HK4" t="e">
        <f>AND(List1!F103,"AAAAAHeff9o=")</f>
        <v>#VALUE!</v>
      </c>
      <c r="HL4" t="e">
        <f>AND(List1!G103,"AAAAAHeff9s=")</f>
        <v>#VALUE!</v>
      </c>
      <c r="HM4" t="e">
        <f>AND(List1!H103,"AAAAAHeff9w=")</f>
        <v>#VALUE!</v>
      </c>
      <c r="HN4" t="e">
        <f>AND(List1!I103,"AAAAAHeff90=")</f>
        <v>#VALUE!</v>
      </c>
      <c r="HO4">
        <f>IF(List1!102:102,"AAAAAHeff94=",0)</f>
        <v>0</v>
      </c>
      <c r="HP4" t="e">
        <f>AND(List1!A104,"AAAAAHeff98=")</f>
        <v>#VALUE!</v>
      </c>
      <c r="HQ4" t="e">
        <f>AND(List1!B104,"AAAAAHeff+A=")</f>
        <v>#VALUE!</v>
      </c>
      <c r="HR4" t="e">
        <f>AND(List1!C104,"AAAAAHeff+E=")</f>
        <v>#VALUE!</v>
      </c>
      <c r="HS4" t="e">
        <f>AND(List1!E104,"AAAAAHeff+I=")</f>
        <v>#VALUE!</v>
      </c>
      <c r="HT4" t="e">
        <f>AND(List1!F104,"AAAAAHeff+M=")</f>
        <v>#VALUE!</v>
      </c>
      <c r="HU4" t="e">
        <f>AND(List1!G104,"AAAAAHeff+Q=")</f>
        <v>#VALUE!</v>
      </c>
      <c r="HV4" t="e">
        <f>AND(List1!H104,"AAAAAHeff+U=")</f>
        <v>#VALUE!</v>
      </c>
      <c r="HW4" t="e">
        <f>AND(List1!I104,"AAAAAHeff+Y=")</f>
        <v>#VALUE!</v>
      </c>
      <c r="HX4">
        <f>IF(List1!103:103,"AAAAAHeff+c=",0)</f>
        <v>0</v>
      </c>
      <c r="HY4" t="e">
        <f>AND(List1!A105,"AAAAAHeff+g=")</f>
        <v>#VALUE!</v>
      </c>
      <c r="HZ4" t="e">
        <f>AND(List1!B105,"AAAAAHeff+k=")</f>
        <v>#VALUE!</v>
      </c>
      <c r="IA4" t="e">
        <f>AND(List1!C105,"AAAAAHeff+o=")</f>
        <v>#VALUE!</v>
      </c>
      <c r="IB4" t="e">
        <f>AND(List1!E105,"AAAAAHeff+s=")</f>
        <v>#VALUE!</v>
      </c>
      <c r="IC4" t="e">
        <f>AND(List1!F105,"AAAAAHeff+w=")</f>
        <v>#VALUE!</v>
      </c>
      <c r="ID4" t="e">
        <f>AND(List1!G105,"AAAAAHeff+0=")</f>
        <v>#VALUE!</v>
      </c>
      <c r="IE4" t="e">
        <f>AND(List1!H105,"AAAAAHeff+4=")</f>
        <v>#VALUE!</v>
      </c>
      <c r="IF4" t="e">
        <f>AND(List1!I105,"AAAAAHeff+8=")</f>
        <v>#VALUE!</v>
      </c>
      <c r="IG4">
        <f>IF(List1!104:104,"AAAAAHeff/A=",0)</f>
        <v>0</v>
      </c>
      <c r="IH4" t="e">
        <f>AND(List1!A106,"AAAAAHeff/E=")</f>
        <v>#VALUE!</v>
      </c>
      <c r="II4" t="e">
        <f>AND(List1!B106,"AAAAAHeff/I=")</f>
        <v>#VALUE!</v>
      </c>
      <c r="IJ4" t="e">
        <f>AND(List1!C106,"AAAAAHeff/M=")</f>
        <v>#VALUE!</v>
      </c>
      <c r="IK4" t="e">
        <f>AND(List1!E106,"AAAAAHeff/Q=")</f>
        <v>#VALUE!</v>
      </c>
      <c r="IL4" t="e">
        <f>AND(List1!F106,"AAAAAHeff/U=")</f>
        <v>#VALUE!</v>
      </c>
      <c r="IM4" t="e">
        <f>AND(List1!G106,"AAAAAHeff/Y=")</f>
        <v>#VALUE!</v>
      </c>
      <c r="IN4" t="e">
        <f>AND(List1!H106,"AAAAAHeff/c=")</f>
        <v>#VALUE!</v>
      </c>
      <c r="IO4" t="e">
        <f>AND(List1!I106,"AAAAAHeff/g=")</f>
        <v>#VALUE!</v>
      </c>
      <c r="IP4">
        <f>IF(List1!105:105,"AAAAAHeff/k=",0)</f>
        <v>0</v>
      </c>
      <c r="IQ4" t="e">
        <f>AND(List1!A107,"AAAAAHeff/o=")</f>
        <v>#VALUE!</v>
      </c>
      <c r="IR4" t="e">
        <f>AND(List1!B107,"AAAAAHeff/s=")</f>
        <v>#VALUE!</v>
      </c>
      <c r="IS4" t="e">
        <f>AND(List1!C107,"AAAAAHeff/w=")</f>
        <v>#VALUE!</v>
      </c>
      <c r="IT4" t="e">
        <f>AND(List1!E107,"AAAAAHeff/0=")</f>
        <v>#VALUE!</v>
      </c>
      <c r="IU4" t="e">
        <f>AND(List1!F107,"AAAAAHeff/4=")</f>
        <v>#VALUE!</v>
      </c>
      <c r="IV4" t="e">
        <f>AND(List1!G107,"AAAAAHeff/8=")</f>
        <v>#VALUE!</v>
      </c>
    </row>
    <row r="5" spans="1:256" ht="12.75">
      <c r="A5" t="e">
        <f>AND(List1!H107,"AAAAAE/zdgA=")</f>
        <v>#VALUE!</v>
      </c>
      <c r="B5" t="e">
        <f>AND(List1!I107,"AAAAAE/zdgE=")</f>
        <v>#VALUE!</v>
      </c>
      <c r="C5" t="e">
        <f>IF(List1!106:106,"AAAAAE/zdgI=",0)</f>
        <v>#VALUE!</v>
      </c>
      <c r="D5" t="e">
        <f>AND(List1!A108,"AAAAAE/zdgM=")</f>
        <v>#VALUE!</v>
      </c>
      <c r="E5" t="e">
        <f>AND(List1!B108,"AAAAAE/zdgQ=")</f>
        <v>#VALUE!</v>
      </c>
      <c r="F5" t="e">
        <f>AND(List1!C108,"AAAAAE/zdgU=")</f>
        <v>#VALUE!</v>
      </c>
      <c r="G5" t="e">
        <f>AND(List1!E108,"AAAAAE/zdgY=")</f>
        <v>#VALUE!</v>
      </c>
      <c r="H5" t="e">
        <f>AND(List1!F108,"AAAAAE/zdgc=")</f>
        <v>#VALUE!</v>
      </c>
      <c r="I5" t="e">
        <f>AND(List1!G108,"AAAAAE/zdgg=")</f>
        <v>#VALUE!</v>
      </c>
      <c r="J5" t="e">
        <f>AND(List1!H108,"AAAAAE/zdgk=")</f>
        <v>#VALUE!</v>
      </c>
      <c r="K5" t="e">
        <f>AND(List1!I108,"AAAAAE/zdgo=")</f>
        <v>#VALUE!</v>
      </c>
      <c r="L5">
        <f>IF(List1!107:107,"AAAAAE/zdgs=",0)</f>
        <v>0</v>
      </c>
      <c r="M5" t="e">
        <f>AND(List1!A109,"AAAAAE/zdgw=")</f>
        <v>#VALUE!</v>
      </c>
      <c r="N5" t="e">
        <f>AND(List1!B109,"AAAAAE/zdg0=")</f>
        <v>#VALUE!</v>
      </c>
      <c r="O5" t="e">
        <f>AND(List1!C109,"AAAAAE/zdg4=")</f>
        <v>#VALUE!</v>
      </c>
      <c r="P5" t="e">
        <f>AND(List1!E109,"AAAAAE/zdg8=")</f>
        <v>#VALUE!</v>
      </c>
      <c r="Q5" t="e">
        <f>AND(List1!F109,"AAAAAE/zdhA=")</f>
        <v>#VALUE!</v>
      </c>
      <c r="R5" t="e">
        <f>AND(List1!G109,"AAAAAE/zdhE=")</f>
        <v>#VALUE!</v>
      </c>
      <c r="S5" t="e">
        <f>AND(List1!H109,"AAAAAE/zdhI=")</f>
        <v>#VALUE!</v>
      </c>
      <c r="T5" t="e">
        <f>AND(List1!I109,"AAAAAE/zdhM=")</f>
        <v>#VALUE!</v>
      </c>
      <c r="U5">
        <f>IF(List1!108:108,"AAAAAE/zdhQ=",0)</f>
        <v>0</v>
      </c>
      <c r="V5" t="e">
        <f>AND(List1!A110,"AAAAAE/zdhU=")</f>
        <v>#VALUE!</v>
      </c>
      <c r="W5" t="e">
        <f>AND(List1!B110,"AAAAAE/zdhY=")</f>
        <v>#VALUE!</v>
      </c>
      <c r="X5" t="e">
        <f>AND(List1!C110,"AAAAAE/zdhc=")</f>
        <v>#VALUE!</v>
      </c>
      <c r="Y5" t="e">
        <f>AND(List1!E110,"AAAAAE/zdhg=")</f>
        <v>#VALUE!</v>
      </c>
      <c r="Z5" t="e">
        <f>AND(List1!F110,"AAAAAE/zdhk=")</f>
        <v>#VALUE!</v>
      </c>
      <c r="AA5" t="e">
        <f>AND(List1!G110,"AAAAAE/zdho=")</f>
        <v>#VALUE!</v>
      </c>
      <c r="AB5" t="e">
        <f>AND(List1!H110,"AAAAAE/zdhs=")</f>
        <v>#VALUE!</v>
      </c>
      <c r="AC5" t="e">
        <f>AND(List1!I110,"AAAAAE/zdhw=")</f>
        <v>#VALUE!</v>
      </c>
      <c r="AD5">
        <f>IF(List1!109:109,"AAAAAE/zdh0=",0)</f>
        <v>0</v>
      </c>
      <c r="AE5" t="e">
        <f>AND(List1!A111,"AAAAAE/zdh4=")</f>
        <v>#VALUE!</v>
      </c>
      <c r="AF5" t="e">
        <f>AND(List1!B111,"AAAAAE/zdh8=")</f>
        <v>#VALUE!</v>
      </c>
      <c r="AG5" t="e">
        <f>AND(List1!C111,"AAAAAE/zdiA=")</f>
        <v>#VALUE!</v>
      </c>
      <c r="AH5" t="e">
        <f>AND(List1!E111,"AAAAAE/zdiE=")</f>
        <v>#VALUE!</v>
      </c>
      <c r="AI5" t="e">
        <f>AND(List1!F111,"AAAAAE/zdiI=")</f>
        <v>#VALUE!</v>
      </c>
      <c r="AJ5" t="e">
        <f>AND(List1!G111,"AAAAAE/zdiM=")</f>
        <v>#VALUE!</v>
      </c>
      <c r="AK5" t="e">
        <f>AND(List1!H111,"AAAAAE/zdiQ=")</f>
        <v>#VALUE!</v>
      </c>
      <c r="AL5" t="e">
        <f>AND(List1!I111,"AAAAAE/zdiU=")</f>
        <v>#VALUE!</v>
      </c>
      <c r="AM5">
        <f>IF(List1!110:110,"AAAAAE/zdiY=",0)</f>
        <v>0</v>
      </c>
      <c r="AN5" t="e">
        <f>AND(List1!A112,"AAAAAE/zdic=")</f>
        <v>#VALUE!</v>
      </c>
      <c r="AO5" t="e">
        <f>AND(List1!B112,"AAAAAE/zdig=")</f>
        <v>#VALUE!</v>
      </c>
      <c r="AP5" t="e">
        <f>AND(List1!C112,"AAAAAE/zdik=")</f>
        <v>#VALUE!</v>
      </c>
      <c r="AQ5" t="e">
        <f>AND(List1!E112,"AAAAAE/zdio=")</f>
        <v>#VALUE!</v>
      </c>
      <c r="AR5" t="e">
        <f>AND(List1!F112,"AAAAAE/zdis=")</f>
        <v>#VALUE!</v>
      </c>
      <c r="AS5" t="e">
        <f>AND(List1!G112,"AAAAAE/zdiw=")</f>
        <v>#VALUE!</v>
      </c>
      <c r="AT5" t="e">
        <f>AND(List1!H112,"AAAAAE/zdi0=")</f>
        <v>#VALUE!</v>
      </c>
      <c r="AU5" t="e">
        <f>AND(List1!I112,"AAAAAE/zdi4=")</f>
        <v>#VALUE!</v>
      </c>
      <c r="AV5">
        <f>IF(List1!111:111,"AAAAAE/zdi8=",0)</f>
        <v>0</v>
      </c>
      <c r="AW5" t="e">
        <f>AND(List1!A113,"AAAAAE/zdjA=")</f>
        <v>#VALUE!</v>
      </c>
      <c r="AX5" t="e">
        <f>AND(List1!B113,"AAAAAE/zdjE=")</f>
        <v>#VALUE!</v>
      </c>
      <c r="AY5" t="e">
        <f>AND(List1!C113,"AAAAAE/zdjI=")</f>
        <v>#VALUE!</v>
      </c>
      <c r="AZ5" t="e">
        <f>AND(List1!E113,"AAAAAE/zdjM=")</f>
        <v>#VALUE!</v>
      </c>
      <c r="BA5" t="e">
        <f>AND(List1!F113,"AAAAAE/zdjQ=")</f>
        <v>#VALUE!</v>
      </c>
      <c r="BB5" t="e">
        <f>AND(List1!G113,"AAAAAE/zdjU=")</f>
        <v>#VALUE!</v>
      </c>
      <c r="BC5" t="e">
        <f>AND(List1!H113,"AAAAAE/zdjY=")</f>
        <v>#VALUE!</v>
      </c>
      <c r="BD5" t="e">
        <f>AND(List1!I113,"AAAAAE/zdjc=")</f>
        <v>#VALUE!</v>
      </c>
      <c r="BE5">
        <f>IF(List1!112:112,"AAAAAE/zdjg=",0)</f>
        <v>0</v>
      </c>
      <c r="BF5" t="e">
        <f>AND(List1!A114,"AAAAAE/zdjk=")</f>
        <v>#VALUE!</v>
      </c>
      <c r="BG5" t="e">
        <f>AND(List1!B114,"AAAAAE/zdjo=")</f>
        <v>#VALUE!</v>
      </c>
      <c r="BH5" t="e">
        <f>AND(List1!C114,"AAAAAE/zdjs=")</f>
        <v>#VALUE!</v>
      </c>
      <c r="BI5" t="e">
        <f>AND(List1!E114,"AAAAAE/zdjw=")</f>
        <v>#VALUE!</v>
      </c>
      <c r="BJ5" t="e">
        <f>AND(List1!F114,"AAAAAE/zdj0=")</f>
        <v>#VALUE!</v>
      </c>
      <c r="BK5" t="e">
        <f>AND(List1!G114,"AAAAAE/zdj4=")</f>
        <v>#VALUE!</v>
      </c>
      <c r="BL5" t="e">
        <f>AND(List1!H114,"AAAAAE/zdj8=")</f>
        <v>#VALUE!</v>
      </c>
      <c r="BM5" t="e">
        <f>AND(List1!I114,"AAAAAE/zdkA=")</f>
        <v>#VALUE!</v>
      </c>
      <c r="BN5">
        <f>IF(List1!113:113,"AAAAAE/zdkE=",0)</f>
        <v>0</v>
      </c>
      <c r="BO5" t="e">
        <f>AND(List1!A115,"AAAAAE/zdkI=")</f>
        <v>#VALUE!</v>
      </c>
      <c r="BP5" t="e">
        <f>AND(List1!B115,"AAAAAE/zdkM=")</f>
        <v>#VALUE!</v>
      </c>
      <c r="BQ5" t="e">
        <f>AND(List1!C115,"AAAAAE/zdkQ=")</f>
        <v>#VALUE!</v>
      </c>
      <c r="BR5" t="e">
        <f>AND(List1!E115,"AAAAAE/zdkU=")</f>
        <v>#VALUE!</v>
      </c>
      <c r="BS5" t="e">
        <f>AND(List1!F115,"AAAAAE/zdkY=")</f>
        <v>#VALUE!</v>
      </c>
      <c r="BT5" t="e">
        <f>AND(List1!G115,"AAAAAE/zdkc=")</f>
        <v>#VALUE!</v>
      </c>
      <c r="BU5" t="e">
        <f>AND(List1!H115,"AAAAAE/zdkg=")</f>
        <v>#VALUE!</v>
      </c>
      <c r="BV5" t="e">
        <f>AND(List1!I115,"AAAAAE/zdkk=")</f>
        <v>#VALUE!</v>
      </c>
      <c r="BW5">
        <f>IF(List1!114:114,"AAAAAE/zdko=",0)</f>
        <v>0</v>
      </c>
      <c r="BX5" t="e">
        <f>AND(List1!A116,"AAAAAE/zdks=")</f>
        <v>#VALUE!</v>
      </c>
      <c r="BY5" t="e">
        <f>AND(List1!B116,"AAAAAE/zdkw=")</f>
        <v>#VALUE!</v>
      </c>
      <c r="BZ5" t="e">
        <f>AND(List1!C116,"AAAAAE/zdk0=")</f>
        <v>#VALUE!</v>
      </c>
      <c r="CA5" t="e">
        <f>AND(List1!E116,"AAAAAE/zdk4=")</f>
        <v>#VALUE!</v>
      </c>
      <c r="CB5" t="e">
        <f>AND(List1!F116,"AAAAAE/zdk8=")</f>
        <v>#VALUE!</v>
      </c>
      <c r="CC5" t="e">
        <f>AND(List1!G116,"AAAAAE/zdlA=")</f>
        <v>#VALUE!</v>
      </c>
      <c r="CD5" t="e">
        <f>AND(List1!H116,"AAAAAE/zdlE=")</f>
        <v>#VALUE!</v>
      </c>
      <c r="CE5" t="e">
        <f>AND(List1!I116,"AAAAAE/zdlI=")</f>
        <v>#VALUE!</v>
      </c>
      <c r="CF5">
        <f>IF(List1!115:115,"AAAAAE/zdlM=",0)</f>
        <v>0</v>
      </c>
      <c r="CG5" t="e">
        <f>AND(List1!A117,"AAAAAE/zdlQ=")</f>
        <v>#VALUE!</v>
      </c>
      <c r="CH5" t="e">
        <f>AND(List1!B117,"AAAAAE/zdlU=")</f>
        <v>#VALUE!</v>
      </c>
      <c r="CI5" t="e">
        <f>AND(List1!C117,"AAAAAE/zdlY=")</f>
        <v>#VALUE!</v>
      </c>
      <c r="CJ5" t="e">
        <f>AND(List1!E117,"AAAAAE/zdlc=")</f>
        <v>#VALUE!</v>
      </c>
      <c r="CK5" t="e">
        <f>AND(List1!F117,"AAAAAE/zdlg=")</f>
        <v>#VALUE!</v>
      </c>
      <c r="CL5" t="e">
        <f>AND(List1!G117,"AAAAAE/zdlk=")</f>
        <v>#VALUE!</v>
      </c>
      <c r="CM5" t="e">
        <f>AND(List1!H117,"AAAAAE/zdlo=")</f>
        <v>#VALUE!</v>
      </c>
      <c r="CN5" t="e">
        <f>AND(List1!I117,"AAAAAE/zdls=")</f>
        <v>#VALUE!</v>
      </c>
      <c r="CO5">
        <f>IF(List1!116:116,"AAAAAE/zdlw=",0)</f>
        <v>0</v>
      </c>
      <c r="CP5" t="e">
        <f>AND(List1!A118,"AAAAAE/zdl0=")</f>
        <v>#VALUE!</v>
      </c>
      <c r="CQ5" t="e">
        <f>AND(List1!B118,"AAAAAE/zdl4=")</f>
        <v>#VALUE!</v>
      </c>
      <c r="CR5" t="e">
        <f>AND(List1!C118,"AAAAAE/zdl8=")</f>
        <v>#VALUE!</v>
      </c>
      <c r="CS5" t="e">
        <f>AND(List1!E118,"AAAAAE/zdmA=")</f>
        <v>#VALUE!</v>
      </c>
      <c r="CT5" t="e">
        <f>AND(List1!F118,"AAAAAE/zdmE=")</f>
        <v>#VALUE!</v>
      </c>
      <c r="CU5" t="e">
        <f>AND(List1!G118,"AAAAAE/zdmI=")</f>
        <v>#VALUE!</v>
      </c>
      <c r="CV5" t="e">
        <f>AND(List1!H118,"AAAAAE/zdmM=")</f>
        <v>#VALUE!</v>
      </c>
      <c r="CW5" t="e">
        <f>AND(List1!I118,"AAAAAE/zdmQ=")</f>
        <v>#VALUE!</v>
      </c>
      <c r="CX5">
        <f>IF(List1!117:117,"AAAAAE/zdmU=",0)</f>
        <v>0</v>
      </c>
      <c r="CY5" t="e">
        <f>AND(List1!A119,"AAAAAE/zdmY=")</f>
        <v>#VALUE!</v>
      </c>
      <c r="CZ5" t="e">
        <f>AND(List1!B119,"AAAAAE/zdmc=")</f>
        <v>#VALUE!</v>
      </c>
      <c r="DA5" t="e">
        <f>AND(List1!C119,"AAAAAE/zdmg=")</f>
        <v>#VALUE!</v>
      </c>
      <c r="DB5" t="e">
        <f>AND(List1!E119,"AAAAAE/zdmk=")</f>
        <v>#VALUE!</v>
      </c>
      <c r="DC5" t="e">
        <f>AND(List1!F119,"AAAAAE/zdmo=")</f>
        <v>#VALUE!</v>
      </c>
      <c r="DD5" t="e">
        <f>AND(List1!G119,"AAAAAE/zdms=")</f>
        <v>#VALUE!</v>
      </c>
      <c r="DE5" t="e">
        <f>AND(List1!H119,"AAAAAE/zdmw=")</f>
        <v>#VALUE!</v>
      </c>
      <c r="DF5" t="e">
        <f>AND(List1!I119,"AAAAAE/zdm0=")</f>
        <v>#VALUE!</v>
      </c>
      <c r="DG5">
        <f>IF(List1!118:118,"AAAAAE/zdm4=",0)</f>
        <v>0</v>
      </c>
      <c r="DH5" t="e">
        <f>AND(List1!A120,"AAAAAE/zdm8=")</f>
        <v>#VALUE!</v>
      </c>
      <c r="DI5" t="e">
        <f>AND(List1!B120,"AAAAAE/zdnA=")</f>
        <v>#VALUE!</v>
      </c>
      <c r="DJ5" t="e">
        <f>AND(List1!C120,"AAAAAE/zdnE=")</f>
        <v>#VALUE!</v>
      </c>
      <c r="DK5" t="e">
        <f>AND(List1!E120,"AAAAAE/zdnI=")</f>
        <v>#VALUE!</v>
      </c>
      <c r="DL5" t="e">
        <f>AND(List1!F120,"AAAAAE/zdnM=")</f>
        <v>#VALUE!</v>
      </c>
      <c r="DM5" t="e">
        <f>AND(List1!G120,"AAAAAE/zdnQ=")</f>
        <v>#VALUE!</v>
      </c>
      <c r="DN5" t="e">
        <f>AND(List1!H120,"AAAAAE/zdnU=")</f>
        <v>#VALUE!</v>
      </c>
      <c r="DO5" t="e">
        <f>AND(List1!I120,"AAAAAE/zdnY=")</f>
        <v>#VALUE!</v>
      </c>
      <c r="DP5">
        <f>IF(List1!119:119,"AAAAAE/zdnc=",0)</f>
        <v>0</v>
      </c>
      <c r="DQ5" t="e">
        <f>AND(List1!A121,"AAAAAE/zdng=")</f>
        <v>#VALUE!</v>
      </c>
      <c r="DR5" t="e">
        <f>AND(List1!B121,"AAAAAE/zdnk=")</f>
        <v>#VALUE!</v>
      </c>
      <c r="DS5" t="e">
        <f>AND(List1!C121,"AAAAAE/zdno=")</f>
        <v>#VALUE!</v>
      </c>
      <c r="DT5" t="e">
        <f>AND(List1!E121,"AAAAAE/zdns=")</f>
        <v>#VALUE!</v>
      </c>
      <c r="DU5" t="e">
        <f>AND(List1!F121,"AAAAAE/zdnw=")</f>
        <v>#VALUE!</v>
      </c>
      <c r="DV5" t="e">
        <f>AND(List1!G121,"AAAAAE/zdn0=")</f>
        <v>#VALUE!</v>
      </c>
      <c r="DW5" t="e">
        <f>AND(List1!H121,"AAAAAE/zdn4=")</f>
        <v>#VALUE!</v>
      </c>
      <c r="DX5" t="e">
        <f>AND(List1!I121,"AAAAAE/zdn8=")</f>
        <v>#VALUE!</v>
      </c>
      <c r="DY5">
        <f>IF(List1!120:120,"AAAAAE/zdoA=",0)</f>
        <v>0</v>
      </c>
      <c r="DZ5" t="e">
        <f>AND(List1!A122,"AAAAAE/zdoE=")</f>
        <v>#VALUE!</v>
      </c>
      <c r="EA5" t="e">
        <f>AND(List1!B122,"AAAAAE/zdoI=")</f>
        <v>#VALUE!</v>
      </c>
      <c r="EB5" t="e">
        <f>AND(List1!C122,"AAAAAE/zdoM=")</f>
        <v>#VALUE!</v>
      </c>
      <c r="EC5" t="e">
        <f>AND(List1!E122,"AAAAAE/zdoQ=")</f>
        <v>#VALUE!</v>
      </c>
      <c r="ED5" t="e">
        <f>AND(List1!F122,"AAAAAE/zdoU=")</f>
        <v>#VALUE!</v>
      </c>
      <c r="EE5" t="e">
        <f>AND(List1!G122,"AAAAAE/zdoY=")</f>
        <v>#VALUE!</v>
      </c>
      <c r="EF5" t="e">
        <f>AND(List1!H122,"AAAAAE/zdoc=")</f>
        <v>#VALUE!</v>
      </c>
      <c r="EG5" t="e">
        <f>AND(List1!I122,"AAAAAE/zdog=")</f>
        <v>#VALUE!</v>
      </c>
      <c r="EH5">
        <f>IF(List1!121:121,"AAAAAE/zdok=",0)</f>
        <v>0</v>
      </c>
      <c r="EI5" t="e">
        <f>AND(List1!A123,"AAAAAE/zdoo=")</f>
        <v>#VALUE!</v>
      </c>
      <c r="EJ5" t="e">
        <f>AND(List1!B123,"AAAAAE/zdos=")</f>
        <v>#VALUE!</v>
      </c>
      <c r="EK5" t="e">
        <f>AND(List1!C123,"AAAAAE/zdow=")</f>
        <v>#VALUE!</v>
      </c>
      <c r="EL5" t="e">
        <f>AND(List1!E123,"AAAAAE/zdo0=")</f>
        <v>#VALUE!</v>
      </c>
      <c r="EM5" t="e">
        <f>AND(List1!F123,"AAAAAE/zdo4=")</f>
        <v>#VALUE!</v>
      </c>
      <c r="EN5" t="e">
        <f>AND(List1!G123,"AAAAAE/zdo8=")</f>
        <v>#VALUE!</v>
      </c>
      <c r="EO5" t="e">
        <f>AND(List1!H123,"AAAAAE/zdpA=")</f>
        <v>#VALUE!</v>
      </c>
      <c r="EP5" t="e">
        <f>AND(List1!I123,"AAAAAE/zdpE=")</f>
        <v>#VALUE!</v>
      </c>
      <c r="EQ5">
        <f>IF(List1!122:122,"AAAAAE/zdpI=",0)</f>
        <v>0</v>
      </c>
      <c r="ER5" t="e">
        <f>AND(List1!A124,"AAAAAE/zdpM=")</f>
        <v>#VALUE!</v>
      </c>
      <c r="ES5" t="e">
        <f>AND(List1!B124,"AAAAAE/zdpQ=")</f>
        <v>#VALUE!</v>
      </c>
      <c r="ET5" t="e">
        <f>AND(List1!C124,"AAAAAE/zdpU=")</f>
        <v>#VALUE!</v>
      </c>
      <c r="EU5" t="e">
        <f>AND(List1!E124,"AAAAAE/zdpY=")</f>
        <v>#VALUE!</v>
      </c>
      <c r="EV5" t="e">
        <f>AND(List1!F124,"AAAAAE/zdpc=")</f>
        <v>#VALUE!</v>
      </c>
      <c r="EW5" t="e">
        <f>AND(List1!G124,"AAAAAE/zdpg=")</f>
        <v>#VALUE!</v>
      </c>
      <c r="EX5" t="e">
        <f>AND(List1!H124,"AAAAAE/zdpk=")</f>
        <v>#VALUE!</v>
      </c>
      <c r="EY5" t="e">
        <f>AND(List1!I124,"AAAAAE/zdpo=")</f>
        <v>#VALUE!</v>
      </c>
      <c r="EZ5">
        <f>IF(List1!123:123,"AAAAAE/zdps=",0)</f>
        <v>0</v>
      </c>
      <c r="FA5" t="e">
        <f>AND(List1!A125,"AAAAAE/zdpw=")</f>
        <v>#VALUE!</v>
      </c>
      <c r="FB5" t="e">
        <f>AND(List1!B125,"AAAAAE/zdp0=")</f>
        <v>#VALUE!</v>
      </c>
      <c r="FC5" t="e">
        <f>AND(List1!C125,"AAAAAE/zdp4=")</f>
        <v>#VALUE!</v>
      </c>
      <c r="FD5" t="e">
        <f>AND(List1!E125,"AAAAAE/zdp8=")</f>
        <v>#VALUE!</v>
      </c>
      <c r="FE5" t="e">
        <f>AND(List1!F125,"AAAAAE/zdqA=")</f>
        <v>#VALUE!</v>
      </c>
      <c r="FF5" t="e">
        <f>AND(List1!G125,"AAAAAE/zdqE=")</f>
        <v>#VALUE!</v>
      </c>
      <c r="FG5" t="e">
        <f>AND(List1!H125,"AAAAAE/zdqI=")</f>
        <v>#VALUE!</v>
      </c>
      <c r="FH5" t="e">
        <f>AND(List1!I125,"AAAAAE/zdqM=")</f>
        <v>#VALUE!</v>
      </c>
      <c r="FI5">
        <f>IF(List1!124:124,"AAAAAE/zdqQ=",0)</f>
        <v>0</v>
      </c>
      <c r="FJ5" t="e">
        <f>AND(List1!A126,"AAAAAE/zdqU=")</f>
        <v>#VALUE!</v>
      </c>
      <c r="FK5" t="e">
        <f>AND(List1!B126,"AAAAAE/zdqY=")</f>
        <v>#VALUE!</v>
      </c>
      <c r="FL5" t="e">
        <f>AND(List1!C126,"AAAAAE/zdqc=")</f>
        <v>#VALUE!</v>
      </c>
      <c r="FM5" t="e">
        <f>AND(List1!E126,"AAAAAE/zdqg=")</f>
        <v>#VALUE!</v>
      </c>
      <c r="FN5" t="e">
        <f>AND(List1!F126,"AAAAAE/zdqk=")</f>
        <v>#VALUE!</v>
      </c>
      <c r="FO5" t="e">
        <f>AND(List1!G126,"AAAAAE/zdqo=")</f>
        <v>#VALUE!</v>
      </c>
      <c r="FP5" t="e">
        <f>AND(List1!H126,"AAAAAE/zdqs=")</f>
        <v>#VALUE!</v>
      </c>
      <c r="FQ5" t="e">
        <f>AND(List1!I126,"AAAAAE/zdqw=")</f>
        <v>#VALUE!</v>
      </c>
      <c r="FR5">
        <f>IF(List1!125:125,"AAAAAE/zdq0=",0)</f>
        <v>0</v>
      </c>
      <c r="FS5" t="e">
        <f>AND(List1!A127,"AAAAAE/zdq4=")</f>
        <v>#VALUE!</v>
      </c>
      <c r="FT5" t="e">
        <f>AND(List1!B127,"AAAAAE/zdq8=")</f>
        <v>#VALUE!</v>
      </c>
      <c r="FU5" t="e">
        <f>AND(List1!C127,"AAAAAE/zdrA=")</f>
        <v>#VALUE!</v>
      </c>
      <c r="FV5" t="e">
        <f>AND(List1!E127,"AAAAAE/zdrE=")</f>
        <v>#VALUE!</v>
      </c>
      <c r="FW5" t="e">
        <f>AND(List1!F127,"AAAAAE/zdrI=")</f>
        <v>#VALUE!</v>
      </c>
      <c r="FX5" t="e">
        <f>AND(List1!G127,"AAAAAE/zdrM=")</f>
        <v>#VALUE!</v>
      </c>
      <c r="FY5" t="e">
        <f>AND(List1!H127,"AAAAAE/zdrQ=")</f>
        <v>#VALUE!</v>
      </c>
      <c r="FZ5" t="e">
        <f>AND(List1!I127,"AAAAAE/zdrU=")</f>
        <v>#VALUE!</v>
      </c>
      <c r="GA5">
        <f>IF(List1!126:126,"AAAAAE/zdrY=",0)</f>
        <v>0</v>
      </c>
      <c r="GB5" t="e">
        <f>AND(List1!A128,"AAAAAE/zdrc=")</f>
        <v>#VALUE!</v>
      </c>
      <c r="GC5" t="e">
        <f>AND(List1!B128,"AAAAAE/zdrg=")</f>
        <v>#VALUE!</v>
      </c>
      <c r="GD5" t="e">
        <f>AND(List1!C128,"AAAAAE/zdrk=")</f>
        <v>#VALUE!</v>
      </c>
      <c r="GE5" t="e">
        <f>AND(List1!E128,"AAAAAE/zdro=")</f>
        <v>#VALUE!</v>
      </c>
      <c r="GF5" t="e">
        <f>AND(List1!F128,"AAAAAE/zdrs=")</f>
        <v>#VALUE!</v>
      </c>
      <c r="GG5" t="e">
        <f>AND(List1!G128,"AAAAAE/zdrw=")</f>
        <v>#VALUE!</v>
      </c>
      <c r="GH5" t="e">
        <f>AND(List1!H128,"AAAAAE/zdr0=")</f>
        <v>#VALUE!</v>
      </c>
      <c r="GI5" t="e">
        <f>AND(List1!I128,"AAAAAE/zdr4=")</f>
        <v>#VALUE!</v>
      </c>
      <c r="GJ5">
        <f>IF(List1!127:127,"AAAAAE/zdr8=",0)</f>
        <v>0</v>
      </c>
      <c r="GK5" t="e">
        <f>AND(List1!A129,"AAAAAE/zdsA=")</f>
        <v>#VALUE!</v>
      </c>
      <c r="GL5" t="e">
        <f>AND(List1!B129,"AAAAAE/zdsE=")</f>
        <v>#VALUE!</v>
      </c>
      <c r="GM5" t="e">
        <f>AND(List1!C129,"AAAAAE/zdsI=")</f>
        <v>#VALUE!</v>
      </c>
      <c r="GN5" t="e">
        <f>AND(List1!E129,"AAAAAE/zdsM=")</f>
        <v>#VALUE!</v>
      </c>
      <c r="GO5" t="e">
        <f>AND(List1!F129,"AAAAAE/zdsQ=")</f>
        <v>#VALUE!</v>
      </c>
      <c r="GP5" t="e">
        <f>AND(List1!G129,"AAAAAE/zdsU=")</f>
        <v>#VALUE!</v>
      </c>
      <c r="GQ5" t="e">
        <f>AND(List1!H129,"AAAAAE/zdsY=")</f>
        <v>#VALUE!</v>
      </c>
      <c r="GR5" t="e">
        <f>AND(List1!I129,"AAAAAE/zdsc=")</f>
        <v>#VALUE!</v>
      </c>
      <c r="GS5">
        <f>IF(List1!128:128,"AAAAAE/zdsg=",0)</f>
        <v>0</v>
      </c>
      <c r="GT5" t="e">
        <f>AND(List1!A130,"AAAAAE/zdsk=")</f>
        <v>#VALUE!</v>
      </c>
      <c r="GU5" t="e">
        <f>AND(List1!B130,"AAAAAE/zdso=")</f>
        <v>#VALUE!</v>
      </c>
      <c r="GV5" t="e">
        <f>AND(List1!C130,"AAAAAE/zdss=")</f>
        <v>#VALUE!</v>
      </c>
      <c r="GW5" t="e">
        <f>AND(List1!E130,"AAAAAE/zdsw=")</f>
        <v>#VALUE!</v>
      </c>
      <c r="GX5" t="e">
        <f>AND(List1!F130,"AAAAAE/zds0=")</f>
        <v>#VALUE!</v>
      </c>
      <c r="GY5" t="e">
        <f>AND(List1!G130,"AAAAAE/zds4=")</f>
        <v>#VALUE!</v>
      </c>
      <c r="GZ5" t="e">
        <f>AND(List1!H130,"AAAAAE/zds8=")</f>
        <v>#VALUE!</v>
      </c>
      <c r="HA5" t="e">
        <f>AND(List1!I130,"AAAAAE/zdtA=")</f>
        <v>#VALUE!</v>
      </c>
      <c r="HB5">
        <f>IF(List1!129:129,"AAAAAE/zdtE=",0)</f>
        <v>0</v>
      </c>
      <c r="HC5" t="e">
        <f>AND(List1!A131,"AAAAAE/zdtI=")</f>
        <v>#VALUE!</v>
      </c>
      <c r="HD5" t="e">
        <f>AND(List1!B131,"AAAAAE/zdtM=")</f>
        <v>#VALUE!</v>
      </c>
      <c r="HE5" t="e">
        <f>AND(List1!C131,"AAAAAE/zdtQ=")</f>
        <v>#VALUE!</v>
      </c>
      <c r="HF5" t="e">
        <f>AND(List1!E131,"AAAAAE/zdtU=")</f>
        <v>#VALUE!</v>
      </c>
      <c r="HG5" t="e">
        <f>AND(List1!F131,"AAAAAE/zdtY=")</f>
        <v>#VALUE!</v>
      </c>
      <c r="HH5" t="e">
        <f>AND(List1!G131,"AAAAAE/zdtc=")</f>
        <v>#VALUE!</v>
      </c>
      <c r="HI5" t="e">
        <f>AND(List1!H131,"AAAAAE/zdtg=")</f>
        <v>#VALUE!</v>
      </c>
      <c r="HJ5" t="e">
        <f>AND(List1!I131,"AAAAAE/zdtk=")</f>
        <v>#VALUE!</v>
      </c>
      <c r="HK5">
        <f>IF(List1!130:130,"AAAAAE/zdto=",0)</f>
        <v>0</v>
      </c>
      <c r="HL5" t="e">
        <f>AND(List1!A132,"AAAAAE/zdts=")</f>
        <v>#VALUE!</v>
      </c>
      <c r="HM5" t="e">
        <f>AND(List1!B132,"AAAAAE/zdtw=")</f>
        <v>#VALUE!</v>
      </c>
      <c r="HN5" t="e">
        <f>AND(List1!C132,"AAAAAE/zdt0=")</f>
        <v>#VALUE!</v>
      </c>
      <c r="HO5" t="e">
        <f>AND(List1!E132,"AAAAAE/zdt4=")</f>
        <v>#VALUE!</v>
      </c>
      <c r="HP5" t="e">
        <f>AND(List1!F132,"AAAAAE/zdt8=")</f>
        <v>#VALUE!</v>
      </c>
      <c r="HQ5" t="e">
        <f>AND(List1!G132,"AAAAAE/zduA=")</f>
        <v>#VALUE!</v>
      </c>
      <c r="HR5" t="e">
        <f>AND(List1!H132,"AAAAAE/zduE=")</f>
        <v>#VALUE!</v>
      </c>
      <c r="HS5" t="e">
        <f>AND(List1!I132,"AAAAAE/zduI=")</f>
        <v>#VALUE!</v>
      </c>
      <c r="HT5">
        <f>IF(List1!131:131,"AAAAAE/zduM=",0)</f>
        <v>0</v>
      </c>
      <c r="HU5" t="e">
        <f>AND(List1!A133,"AAAAAE/zduQ=")</f>
        <v>#VALUE!</v>
      </c>
      <c r="HV5" t="e">
        <f>AND(List1!B133,"AAAAAE/zduU=")</f>
        <v>#VALUE!</v>
      </c>
      <c r="HW5" t="e">
        <f>AND(List1!C133,"AAAAAE/zduY=")</f>
        <v>#VALUE!</v>
      </c>
      <c r="HX5" t="e">
        <f>AND(List1!E133,"AAAAAE/zduc=")</f>
        <v>#VALUE!</v>
      </c>
      <c r="HY5" t="e">
        <f>AND(List1!F133,"AAAAAE/zdug=")</f>
        <v>#VALUE!</v>
      </c>
      <c r="HZ5" t="e">
        <f>AND(List1!G133,"AAAAAE/zduk=")</f>
        <v>#VALUE!</v>
      </c>
      <c r="IA5" t="e">
        <f>AND(List1!H133,"AAAAAE/zduo=")</f>
        <v>#VALUE!</v>
      </c>
      <c r="IB5" t="e">
        <f>AND(List1!I133,"AAAAAE/zdus=")</f>
        <v>#VALUE!</v>
      </c>
      <c r="IC5">
        <f>IF(List1!132:132,"AAAAAE/zduw=",0)</f>
        <v>0</v>
      </c>
      <c r="ID5" t="e">
        <f>AND(List1!A134,"AAAAAE/zdu0=")</f>
        <v>#VALUE!</v>
      </c>
      <c r="IE5" t="e">
        <f>AND(List1!B134,"AAAAAE/zdu4=")</f>
        <v>#VALUE!</v>
      </c>
      <c r="IF5" t="e">
        <f>AND(List1!C134,"AAAAAE/zdu8=")</f>
        <v>#VALUE!</v>
      </c>
      <c r="IG5" t="e">
        <f>AND(List1!E134,"AAAAAE/zdvA=")</f>
        <v>#VALUE!</v>
      </c>
      <c r="IH5" t="e">
        <f>AND(List1!F134,"AAAAAE/zdvE=")</f>
        <v>#VALUE!</v>
      </c>
      <c r="II5" t="e">
        <f>AND(List1!G134,"AAAAAE/zdvI=")</f>
        <v>#VALUE!</v>
      </c>
      <c r="IJ5" t="e">
        <f>AND(List1!H134,"AAAAAE/zdvM=")</f>
        <v>#VALUE!</v>
      </c>
      <c r="IK5" t="e">
        <f>AND(List1!I134,"AAAAAE/zdvQ=")</f>
        <v>#VALUE!</v>
      </c>
      <c r="IL5">
        <f>IF(List1!133:133,"AAAAAE/zdvU=",0)</f>
        <v>0</v>
      </c>
      <c r="IM5" t="e">
        <f>AND(List1!A135,"AAAAAE/zdvY=")</f>
        <v>#VALUE!</v>
      </c>
      <c r="IN5" t="e">
        <f>AND(List1!B135,"AAAAAE/zdvc=")</f>
        <v>#VALUE!</v>
      </c>
      <c r="IO5" t="e">
        <f>AND(List1!C135,"AAAAAE/zdvg=")</f>
        <v>#VALUE!</v>
      </c>
      <c r="IP5" t="e">
        <f>AND(List1!E135,"AAAAAE/zdvk=")</f>
        <v>#VALUE!</v>
      </c>
      <c r="IQ5" t="e">
        <f>AND(List1!F135,"AAAAAE/zdvo=")</f>
        <v>#VALUE!</v>
      </c>
      <c r="IR5" t="e">
        <f>AND(List1!G135,"AAAAAE/zdvs=")</f>
        <v>#VALUE!</v>
      </c>
      <c r="IS5" t="e">
        <f>AND(List1!H135,"AAAAAE/zdvw=")</f>
        <v>#VALUE!</v>
      </c>
      <c r="IT5" t="e">
        <f>AND(List1!I135,"AAAAAE/zdv0=")</f>
        <v>#VALUE!</v>
      </c>
      <c r="IU5">
        <f>IF(List1!134:134,"AAAAAE/zdv4=",0)</f>
        <v>0</v>
      </c>
      <c r="IV5" t="e">
        <f>AND(List1!A136,"AAAAAE/zdv8=")</f>
        <v>#VALUE!</v>
      </c>
    </row>
    <row r="6" spans="1:256" ht="12.75">
      <c r="A6" t="e">
        <f>AND(List1!B136,"AAAAAD/+/wA=")</f>
        <v>#VALUE!</v>
      </c>
      <c r="B6" t="e">
        <f>AND(List1!C136,"AAAAAD/+/wE=")</f>
        <v>#VALUE!</v>
      </c>
      <c r="C6" t="e">
        <f>AND(List1!E136,"AAAAAD/+/wI=")</f>
        <v>#VALUE!</v>
      </c>
      <c r="D6" t="e">
        <f>AND(List1!F136,"AAAAAD/+/wM=")</f>
        <v>#VALUE!</v>
      </c>
      <c r="E6" t="e">
        <f>AND(List1!G136,"AAAAAD/+/wQ=")</f>
        <v>#VALUE!</v>
      </c>
      <c r="F6" t="e">
        <f>AND(List1!H136,"AAAAAD/+/wU=")</f>
        <v>#VALUE!</v>
      </c>
      <c r="G6" t="e">
        <f>AND(List1!I136,"AAAAAD/+/wY=")</f>
        <v>#VALUE!</v>
      </c>
      <c r="H6">
        <f>IF(List1!135:135,"AAAAAD/+/wc=",0)</f>
        <v>0</v>
      </c>
      <c r="I6" t="e">
        <f>AND(List1!A137,"AAAAAD/+/wg=")</f>
        <v>#VALUE!</v>
      </c>
      <c r="J6" t="e">
        <f>AND(List1!B137,"AAAAAD/+/wk=")</f>
        <v>#VALUE!</v>
      </c>
      <c r="K6" t="e">
        <f>AND(List1!C137,"AAAAAD/+/wo=")</f>
        <v>#VALUE!</v>
      </c>
      <c r="L6" t="e">
        <f>AND(List1!E137,"AAAAAD/+/ws=")</f>
        <v>#VALUE!</v>
      </c>
      <c r="M6" t="e">
        <f>AND(List1!F137,"AAAAAD/+/ww=")</f>
        <v>#VALUE!</v>
      </c>
      <c r="N6" t="e">
        <f>AND(List1!G137,"AAAAAD/+/w0=")</f>
        <v>#VALUE!</v>
      </c>
      <c r="O6" t="e">
        <f>AND(List1!H137,"AAAAAD/+/w4=")</f>
        <v>#VALUE!</v>
      </c>
      <c r="P6" t="e">
        <f>AND(List1!I137,"AAAAAD/+/w8=")</f>
        <v>#VALUE!</v>
      </c>
      <c r="Q6">
        <f>IF(List1!136:136,"AAAAAD/+/xA=",0)</f>
        <v>0</v>
      </c>
      <c r="R6" t="e">
        <f>AND(List1!A138,"AAAAAD/+/xE=")</f>
        <v>#VALUE!</v>
      </c>
      <c r="S6" t="e">
        <f>AND(List1!B138,"AAAAAD/+/xI=")</f>
        <v>#VALUE!</v>
      </c>
      <c r="T6" t="e">
        <f>AND(List1!C138,"AAAAAD/+/xM=")</f>
        <v>#VALUE!</v>
      </c>
      <c r="U6" t="e">
        <f>AND(List1!E138,"AAAAAD/+/xQ=")</f>
        <v>#VALUE!</v>
      </c>
      <c r="V6" t="e">
        <f>AND(List1!F138,"AAAAAD/+/xU=")</f>
        <v>#VALUE!</v>
      </c>
      <c r="W6" t="e">
        <f>AND(List1!G138,"AAAAAD/+/xY=")</f>
        <v>#VALUE!</v>
      </c>
      <c r="X6" t="e">
        <f>AND(List1!H138,"AAAAAD/+/xc=")</f>
        <v>#VALUE!</v>
      </c>
      <c r="Y6" t="e">
        <f>AND(List1!I138,"AAAAAD/+/xg=")</f>
        <v>#VALUE!</v>
      </c>
      <c r="Z6">
        <f>IF(List1!137:137,"AAAAAD/+/xk=",0)</f>
        <v>0</v>
      </c>
      <c r="AA6" t="e">
        <f>AND(List1!A139,"AAAAAD/+/xo=")</f>
        <v>#VALUE!</v>
      </c>
      <c r="AB6" t="e">
        <f>AND(List1!B139,"AAAAAD/+/xs=")</f>
        <v>#VALUE!</v>
      </c>
      <c r="AC6" t="e">
        <f>AND(List1!C139,"AAAAAD/+/xw=")</f>
        <v>#VALUE!</v>
      </c>
      <c r="AD6" t="e">
        <f>AND(List1!E139,"AAAAAD/+/x0=")</f>
        <v>#VALUE!</v>
      </c>
      <c r="AE6" t="e">
        <f>AND(List1!F139,"AAAAAD/+/x4=")</f>
        <v>#VALUE!</v>
      </c>
      <c r="AF6" t="e">
        <f>AND(List1!G139,"AAAAAD/+/x8=")</f>
        <v>#VALUE!</v>
      </c>
      <c r="AG6" t="e">
        <f>AND(List1!H139,"AAAAAD/+/yA=")</f>
        <v>#VALUE!</v>
      </c>
      <c r="AH6" t="e">
        <f>AND(List1!I139,"AAAAAD/+/yE=")</f>
        <v>#VALUE!</v>
      </c>
      <c r="AI6">
        <f>IF(List1!138:138,"AAAAAD/+/yI=",0)</f>
        <v>0</v>
      </c>
      <c r="AJ6" t="e">
        <f>AND(List1!A140,"AAAAAD/+/yM=")</f>
        <v>#VALUE!</v>
      </c>
      <c r="AK6" t="e">
        <f>AND(List1!B140,"AAAAAD/+/yQ=")</f>
        <v>#VALUE!</v>
      </c>
      <c r="AL6" t="e">
        <f>AND(List1!C140,"AAAAAD/+/yU=")</f>
        <v>#VALUE!</v>
      </c>
      <c r="AM6" t="e">
        <f>AND(List1!E140,"AAAAAD/+/yY=")</f>
        <v>#VALUE!</v>
      </c>
      <c r="AN6" t="e">
        <f>AND(List1!F140,"AAAAAD/+/yc=")</f>
        <v>#VALUE!</v>
      </c>
      <c r="AO6" t="e">
        <f>AND(List1!G140,"AAAAAD/+/yg=")</f>
        <v>#VALUE!</v>
      </c>
      <c r="AP6" t="e">
        <f>AND(List1!H140,"AAAAAD/+/yk=")</f>
        <v>#VALUE!</v>
      </c>
      <c r="AQ6" t="e">
        <f>AND(List1!I140,"AAAAAD/+/yo=")</f>
        <v>#VALUE!</v>
      </c>
      <c r="AR6">
        <f>IF(List1!139:139,"AAAAAD/+/ys=",0)</f>
        <v>0</v>
      </c>
      <c r="AS6" t="e">
        <f>AND(List1!A141,"AAAAAD/+/yw=")</f>
        <v>#VALUE!</v>
      </c>
      <c r="AT6" t="e">
        <f>AND(List1!B141,"AAAAAD/+/y0=")</f>
        <v>#VALUE!</v>
      </c>
      <c r="AU6" t="e">
        <f>AND(List1!C141,"AAAAAD/+/y4=")</f>
        <v>#VALUE!</v>
      </c>
      <c r="AV6" t="e">
        <f>AND(List1!E141,"AAAAAD/+/y8=")</f>
        <v>#VALUE!</v>
      </c>
      <c r="AW6" t="e">
        <f>AND(List1!F141,"AAAAAD/+/zA=")</f>
        <v>#VALUE!</v>
      </c>
      <c r="AX6" t="e">
        <f>AND(List1!G141,"AAAAAD/+/zE=")</f>
        <v>#VALUE!</v>
      </c>
      <c r="AY6" t="e">
        <f>AND(List1!H141,"AAAAAD/+/zI=")</f>
        <v>#VALUE!</v>
      </c>
      <c r="AZ6" t="e">
        <f>AND(List1!I141,"AAAAAD/+/zM=")</f>
        <v>#VALUE!</v>
      </c>
      <c r="BA6">
        <f>IF(List1!140:140,"AAAAAD/+/zQ=",0)</f>
        <v>0</v>
      </c>
      <c r="BB6" t="e">
        <f>AND(List1!A142,"AAAAAD/+/zU=")</f>
        <v>#VALUE!</v>
      </c>
      <c r="BC6" t="e">
        <f>AND(List1!B142,"AAAAAD/+/zY=")</f>
        <v>#VALUE!</v>
      </c>
      <c r="BD6" t="e">
        <f>AND(List1!C142,"AAAAAD/+/zc=")</f>
        <v>#VALUE!</v>
      </c>
      <c r="BE6" t="e">
        <f>AND(List1!E142,"AAAAAD/+/zg=")</f>
        <v>#VALUE!</v>
      </c>
      <c r="BF6" t="e">
        <f>AND(List1!F142,"AAAAAD/+/zk=")</f>
        <v>#VALUE!</v>
      </c>
      <c r="BG6" t="e">
        <f>AND(List1!G142,"AAAAAD/+/zo=")</f>
        <v>#VALUE!</v>
      </c>
      <c r="BH6" t="e">
        <f>AND(List1!H142,"AAAAAD/+/zs=")</f>
        <v>#VALUE!</v>
      </c>
      <c r="BI6" t="e">
        <f>AND(List1!I142,"AAAAAD/+/zw=")</f>
        <v>#VALUE!</v>
      </c>
      <c r="BJ6">
        <f>IF(List1!141:141,"AAAAAD/+/z0=",0)</f>
        <v>0</v>
      </c>
      <c r="BK6" t="e">
        <f>AND(List1!A143,"AAAAAD/+/z4=")</f>
        <v>#VALUE!</v>
      </c>
      <c r="BL6" t="e">
        <f>AND(List1!B143,"AAAAAD/+/z8=")</f>
        <v>#VALUE!</v>
      </c>
      <c r="BM6" t="e">
        <f>AND(List1!C143,"AAAAAD/+/0A=")</f>
        <v>#VALUE!</v>
      </c>
      <c r="BN6" t="e">
        <f>AND(List1!E143,"AAAAAD/+/0E=")</f>
        <v>#VALUE!</v>
      </c>
      <c r="BO6" t="e">
        <f>AND(List1!F143,"AAAAAD/+/0I=")</f>
        <v>#VALUE!</v>
      </c>
      <c r="BP6" t="e">
        <f>AND(List1!G143,"AAAAAD/+/0M=")</f>
        <v>#VALUE!</v>
      </c>
      <c r="BQ6" t="e">
        <f>AND(List1!H143,"AAAAAD/+/0Q=")</f>
        <v>#VALUE!</v>
      </c>
      <c r="BR6" t="e">
        <f>AND(List1!I143,"AAAAAD/+/0U=")</f>
        <v>#VALUE!</v>
      </c>
      <c r="BS6">
        <f>IF(List1!142:142,"AAAAAD/+/0Y=",0)</f>
        <v>0</v>
      </c>
      <c r="BT6" t="e">
        <f>AND(List1!A144,"AAAAAD/+/0c=")</f>
        <v>#VALUE!</v>
      </c>
      <c r="BU6" t="e">
        <f>AND(List1!B144,"AAAAAD/+/0g=")</f>
        <v>#VALUE!</v>
      </c>
      <c r="BV6" t="e">
        <f>AND(List1!C144,"AAAAAD/+/0k=")</f>
        <v>#VALUE!</v>
      </c>
      <c r="BW6" t="e">
        <f>AND(List1!E144,"AAAAAD/+/0o=")</f>
        <v>#VALUE!</v>
      </c>
      <c r="BX6" t="e">
        <f>AND(List1!F144,"AAAAAD/+/0s=")</f>
        <v>#VALUE!</v>
      </c>
      <c r="BY6" t="e">
        <f>AND(List1!G144,"AAAAAD/+/0w=")</f>
        <v>#VALUE!</v>
      </c>
      <c r="BZ6" t="e">
        <f>AND(List1!H144,"AAAAAD/+/00=")</f>
        <v>#VALUE!</v>
      </c>
      <c r="CA6" t="e">
        <f>AND(List1!I144,"AAAAAD/+/04=")</f>
        <v>#VALUE!</v>
      </c>
      <c r="CB6">
        <f>IF(List1!143:143,"AAAAAD/+/08=",0)</f>
        <v>0</v>
      </c>
      <c r="CC6" t="e">
        <f>AND(List1!A145,"AAAAAD/+/1A=")</f>
        <v>#VALUE!</v>
      </c>
      <c r="CD6" t="e">
        <f>AND(List1!B145,"AAAAAD/+/1E=")</f>
        <v>#VALUE!</v>
      </c>
      <c r="CE6" t="e">
        <f>AND(List1!C145,"AAAAAD/+/1I=")</f>
        <v>#VALUE!</v>
      </c>
      <c r="CF6" t="e">
        <f>AND(List1!E145,"AAAAAD/+/1M=")</f>
        <v>#VALUE!</v>
      </c>
      <c r="CG6" t="e">
        <f>AND(List1!F145,"AAAAAD/+/1Q=")</f>
        <v>#VALUE!</v>
      </c>
      <c r="CH6" t="e">
        <f>AND(List1!G145,"AAAAAD/+/1U=")</f>
        <v>#VALUE!</v>
      </c>
      <c r="CI6" t="e">
        <f>AND(List1!H145,"AAAAAD/+/1Y=")</f>
        <v>#VALUE!</v>
      </c>
      <c r="CJ6" t="e">
        <f>AND(List1!I145,"AAAAAD/+/1c=")</f>
        <v>#VALUE!</v>
      </c>
      <c r="CK6">
        <f>IF(List1!144:144,"AAAAAD/+/1g=",0)</f>
        <v>0</v>
      </c>
      <c r="CL6" t="e">
        <f>AND(List1!A146,"AAAAAD/+/1k=")</f>
        <v>#VALUE!</v>
      </c>
      <c r="CM6" t="e">
        <f>AND(List1!B146,"AAAAAD/+/1o=")</f>
        <v>#VALUE!</v>
      </c>
      <c r="CN6" t="e">
        <f>AND(List1!C146,"AAAAAD/+/1s=")</f>
        <v>#VALUE!</v>
      </c>
      <c r="CO6" t="e">
        <f>AND(List1!E146,"AAAAAD/+/1w=")</f>
        <v>#VALUE!</v>
      </c>
      <c r="CP6" t="e">
        <f>AND(List1!F146,"AAAAAD/+/10=")</f>
        <v>#VALUE!</v>
      </c>
      <c r="CQ6" t="e">
        <f>AND(List1!G146,"AAAAAD/+/14=")</f>
        <v>#VALUE!</v>
      </c>
      <c r="CR6" t="e">
        <f>AND(List1!H146,"AAAAAD/+/18=")</f>
        <v>#VALUE!</v>
      </c>
      <c r="CS6" t="e">
        <f>AND(List1!I146,"AAAAAD/+/2A=")</f>
        <v>#VALUE!</v>
      </c>
      <c r="CT6">
        <f>IF(List1!145:145,"AAAAAD/+/2E=",0)</f>
        <v>0</v>
      </c>
      <c r="CU6" t="e">
        <f>AND(List1!A147,"AAAAAD/+/2I=")</f>
        <v>#VALUE!</v>
      </c>
      <c r="CV6" t="e">
        <f>AND(List1!B147,"AAAAAD/+/2M=")</f>
        <v>#VALUE!</v>
      </c>
      <c r="CW6" t="e">
        <f>AND(List1!C147,"AAAAAD/+/2Q=")</f>
        <v>#VALUE!</v>
      </c>
      <c r="CX6" t="e">
        <f>AND(List1!E147,"AAAAAD/+/2U=")</f>
        <v>#VALUE!</v>
      </c>
      <c r="CY6" t="e">
        <f>AND(List1!F147,"AAAAAD/+/2Y=")</f>
        <v>#VALUE!</v>
      </c>
      <c r="CZ6" t="e">
        <f>AND(List1!G147,"AAAAAD/+/2c=")</f>
        <v>#VALUE!</v>
      </c>
      <c r="DA6" t="e">
        <f>AND(List1!H147,"AAAAAD/+/2g=")</f>
        <v>#VALUE!</v>
      </c>
      <c r="DB6" t="e">
        <f>AND(List1!I147,"AAAAAD/+/2k=")</f>
        <v>#VALUE!</v>
      </c>
      <c r="DC6">
        <f>IF(List1!146:146,"AAAAAD/+/2o=",0)</f>
        <v>0</v>
      </c>
      <c r="DD6" t="e">
        <f>AND(List1!A148,"AAAAAD/+/2s=")</f>
        <v>#VALUE!</v>
      </c>
      <c r="DE6" t="e">
        <f>AND(List1!B148,"AAAAAD/+/2w=")</f>
        <v>#VALUE!</v>
      </c>
      <c r="DF6" t="e">
        <f>AND(List1!C148,"AAAAAD/+/20=")</f>
        <v>#VALUE!</v>
      </c>
      <c r="DG6" t="e">
        <f>AND(List1!E148,"AAAAAD/+/24=")</f>
        <v>#VALUE!</v>
      </c>
      <c r="DH6" t="e">
        <f>AND(List1!F148,"AAAAAD/+/28=")</f>
        <v>#VALUE!</v>
      </c>
      <c r="DI6" t="e">
        <f>AND(List1!G148,"AAAAAD/+/3A=")</f>
        <v>#VALUE!</v>
      </c>
      <c r="DJ6" t="e">
        <f>AND(List1!H148,"AAAAAD/+/3E=")</f>
        <v>#VALUE!</v>
      </c>
      <c r="DK6" t="e">
        <f>AND(List1!I148,"AAAAAD/+/3I=")</f>
        <v>#VALUE!</v>
      </c>
      <c r="DL6">
        <f>IF(List1!147:147,"AAAAAD/+/3M=",0)</f>
        <v>0</v>
      </c>
      <c r="DM6" t="e">
        <f>AND(List1!A149,"AAAAAD/+/3Q=")</f>
        <v>#VALUE!</v>
      </c>
      <c r="DN6" t="e">
        <f>AND(List1!B149,"AAAAAD/+/3U=")</f>
        <v>#VALUE!</v>
      </c>
      <c r="DO6" t="e">
        <f>AND(List1!C149,"AAAAAD/+/3Y=")</f>
        <v>#VALUE!</v>
      </c>
      <c r="DP6" t="e">
        <f>AND(List1!E149,"AAAAAD/+/3c=")</f>
        <v>#VALUE!</v>
      </c>
      <c r="DQ6" t="e">
        <f>AND(List1!F149,"AAAAAD/+/3g=")</f>
        <v>#VALUE!</v>
      </c>
      <c r="DR6" t="e">
        <f>AND(List1!G149,"AAAAAD/+/3k=")</f>
        <v>#VALUE!</v>
      </c>
      <c r="DS6" t="e">
        <f>AND(List1!H149,"AAAAAD/+/3o=")</f>
        <v>#VALUE!</v>
      </c>
      <c r="DT6" t="e">
        <f>AND(List1!I149,"AAAAAD/+/3s=")</f>
        <v>#VALUE!</v>
      </c>
      <c r="DU6">
        <f>IF(List1!148:148,"AAAAAD/+/3w=",0)</f>
        <v>0</v>
      </c>
      <c r="DV6" t="e">
        <f>AND(List1!A150,"AAAAAD/+/30=")</f>
        <v>#VALUE!</v>
      </c>
      <c r="DW6" t="e">
        <f>AND(List1!B150,"AAAAAD/+/34=")</f>
        <v>#VALUE!</v>
      </c>
      <c r="DX6" t="e">
        <f>AND(List1!C150,"AAAAAD/+/38=")</f>
        <v>#VALUE!</v>
      </c>
      <c r="DY6" t="e">
        <f>AND(List1!E150,"AAAAAD/+/4A=")</f>
        <v>#VALUE!</v>
      </c>
      <c r="DZ6" t="e">
        <f>AND(List1!F150,"AAAAAD/+/4E=")</f>
        <v>#VALUE!</v>
      </c>
      <c r="EA6" t="e">
        <f>AND(List1!G150,"AAAAAD/+/4I=")</f>
        <v>#VALUE!</v>
      </c>
      <c r="EB6" t="e">
        <f>AND(List1!H150,"AAAAAD/+/4M=")</f>
        <v>#VALUE!</v>
      </c>
      <c r="EC6" t="e">
        <f>AND(List1!I150,"AAAAAD/+/4Q=")</f>
        <v>#VALUE!</v>
      </c>
      <c r="ED6">
        <f>IF(List1!149:149,"AAAAAD/+/4U=",0)</f>
        <v>0</v>
      </c>
      <c r="EE6" t="e">
        <f>AND(List1!A151,"AAAAAD/+/4Y=")</f>
        <v>#VALUE!</v>
      </c>
      <c r="EF6" t="e">
        <f>AND(List1!B151,"AAAAAD/+/4c=")</f>
        <v>#VALUE!</v>
      </c>
      <c r="EG6" t="e">
        <f>AND(List1!C151,"AAAAAD/+/4g=")</f>
        <v>#VALUE!</v>
      </c>
      <c r="EH6" t="e">
        <f>AND(List1!E151,"AAAAAD/+/4k=")</f>
        <v>#VALUE!</v>
      </c>
      <c r="EI6" t="e">
        <f>AND(List1!F151,"AAAAAD/+/4o=")</f>
        <v>#VALUE!</v>
      </c>
      <c r="EJ6" t="e">
        <f>AND(List1!G151,"AAAAAD/+/4s=")</f>
        <v>#VALUE!</v>
      </c>
      <c r="EK6" t="e">
        <f>AND(List1!H151,"AAAAAD/+/4w=")</f>
        <v>#VALUE!</v>
      </c>
      <c r="EL6" t="e">
        <f>AND(List1!I151,"AAAAAD/+/40=")</f>
        <v>#VALUE!</v>
      </c>
      <c r="EM6">
        <f>IF(List1!150:150,"AAAAAD/+/44=",0)</f>
        <v>0</v>
      </c>
      <c r="EN6" t="e">
        <f>AND(List1!A152,"AAAAAD/+/48=")</f>
        <v>#VALUE!</v>
      </c>
      <c r="EO6" t="e">
        <f>AND(List1!B152,"AAAAAD/+/5A=")</f>
        <v>#VALUE!</v>
      </c>
      <c r="EP6" t="e">
        <f>AND(List1!C152,"AAAAAD/+/5E=")</f>
        <v>#VALUE!</v>
      </c>
      <c r="EQ6" t="e">
        <f>AND(List1!E152,"AAAAAD/+/5I=")</f>
        <v>#VALUE!</v>
      </c>
      <c r="ER6" t="e">
        <f>AND(List1!F152,"AAAAAD/+/5M=")</f>
        <v>#VALUE!</v>
      </c>
      <c r="ES6" t="e">
        <f>AND(List1!G152,"AAAAAD/+/5Q=")</f>
        <v>#VALUE!</v>
      </c>
      <c r="ET6" t="e">
        <f>AND(List1!H152,"AAAAAD/+/5U=")</f>
        <v>#VALUE!</v>
      </c>
      <c r="EU6" t="e">
        <f>AND(List1!I152,"AAAAAD/+/5Y=")</f>
        <v>#VALUE!</v>
      </c>
      <c r="EV6">
        <f>IF(List1!151:151,"AAAAAD/+/5c=",0)</f>
        <v>0</v>
      </c>
      <c r="EW6" t="e">
        <f>AND(List1!A153,"AAAAAD/+/5g=")</f>
        <v>#VALUE!</v>
      </c>
      <c r="EX6" t="e">
        <f>AND(List1!B153,"AAAAAD/+/5k=")</f>
        <v>#VALUE!</v>
      </c>
      <c r="EY6" t="e">
        <f>AND(List1!C153,"AAAAAD/+/5o=")</f>
        <v>#VALUE!</v>
      </c>
      <c r="EZ6" t="e">
        <f>AND(List1!E153,"AAAAAD/+/5s=")</f>
        <v>#VALUE!</v>
      </c>
      <c r="FA6" t="e">
        <f>AND(List1!F153,"AAAAAD/+/5w=")</f>
        <v>#VALUE!</v>
      </c>
      <c r="FB6" t="e">
        <f>AND(List1!G153,"AAAAAD/+/50=")</f>
        <v>#VALUE!</v>
      </c>
      <c r="FC6" t="e">
        <f>AND(List1!H153,"AAAAAD/+/54=")</f>
        <v>#VALUE!</v>
      </c>
      <c r="FD6" t="e">
        <f>AND(List1!I153,"AAAAAD/+/58=")</f>
        <v>#VALUE!</v>
      </c>
      <c r="FE6">
        <f>IF(List1!152:152,"AAAAAD/+/6A=",0)</f>
        <v>0</v>
      </c>
      <c r="FF6" t="e">
        <f>AND(List1!A154,"AAAAAD/+/6E=")</f>
        <v>#VALUE!</v>
      </c>
      <c r="FG6" t="e">
        <f>AND(List1!B154,"AAAAAD/+/6I=")</f>
        <v>#VALUE!</v>
      </c>
      <c r="FH6" t="e">
        <f>AND(List1!C154,"AAAAAD/+/6M=")</f>
        <v>#VALUE!</v>
      </c>
      <c r="FI6" t="e">
        <f>AND(List1!E154,"AAAAAD/+/6Q=")</f>
        <v>#VALUE!</v>
      </c>
      <c r="FJ6" t="e">
        <f>AND(List1!F154,"AAAAAD/+/6U=")</f>
        <v>#VALUE!</v>
      </c>
      <c r="FK6" t="e">
        <f>AND(List1!G154,"AAAAAD/+/6Y=")</f>
        <v>#VALUE!</v>
      </c>
      <c r="FL6" t="e">
        <f>AND(List1!H154,"AAAAAD/+/6c=")</f>
        <v>#VALUE!</v>
      </c>
      <c r="FM6" t="e">
        <f>AND(List1!I154,"AAAAAD/+/6g=")</f>
        <v>#VALUE!</v>
      </c>
      <c r="FN6">
        <f>IF(List1!153:153,"AAAAAD/+/6k=",0)</f>
        <v>0</v>
      </c>
      <c r="FO6" t="e">
        <f>AND(List1!A155,"AAAAAD/+/6o=")</f>
        <v>#VALUE!</v>
      </c>
      <c r="FP6" t="e">
        <f>AND(List1!B155,"AAAAAD/+/6s=")</f>
        <v>#VALUE!</v>
      </c>
      <c r="FQ6" t="e">
        <f>AND(List1!C155,"AAAAAD/+/6w=")</f>
        <v>#VALUE!</v>
      </c>
      <c r="FR6" t="e">
        <f>AND(List1!E155,"AAAAAD/+/60=")</f>
        <v>#VALUE!</v>
      </c>
      <c r="FS6" t="e">
        <f>AND(List1!F155,"AAAAAD/+/64=")</f>
        <v>#VALUE!</v>
      </c>
      <c r="FT6" t="e">
        <f>AND(List1!G155,"AAAAAD/+/68=")</f>
        <v>#VALUE!</v>
      </c>
      <c r="FU6" t="e">
        <f>AND(List1!H155,"AAAAAD/+/7A=")</f>
        <v>#VALUE!</v>
      </c>
      <c r="FV6" t="e">
        <f>AND(List1!I155,"AAAAAD/+/7E=")</f>
        <v>#VALUE!</v>
      </c>
      <c r="FW6">
        <f>IF(List1!154:154,"AAAAAD/+/7I=",0)</f>
        <v>0</v>
      </c>
      <c r="FX6" t="e">
        <f>AND(List1!A156,"AAAAAD/+/7M=")</f>
        <v>#VALUE!</v>
      </c>
      <c r="FY6" t="e">
        <f>AND(List1!B156,"AAAAAD/+/7Q=")</f>
        <v>#VALUE!</v>
      </c>
      <c r="FZ6" t="e">
        <f>AND(List1!C156,"AAAAAD/+/7U=")</f>
        <v>#VALUE!</v>
      </c>
      <c r="GA6" t="e">
        <f>AND(List1!E156,"AAAAAD/+/7Y=")</f>
        <v>#VALUE!</v>
      </c>
      <c r="GB6" t="e">
        <f>AND(List1!F156,"AAAAAD/+/7c=")</f>
        <v>#VALUE!</v>
      </c>
      <c r="GC6" t="e">
        <f>AND(List1!G156,"AAAAAD/+/7g=")</f>
        <v>#VALUE!</v>
      </c>
      <c r="GD6" t="e">
        <f>AND(List1!H156,"AAAAAD/+/7k=")</f>
        <v>#VALUE!</v>
      </c>
      <c r="GE6" t="e">
        <f>AND(List1!I156,"AAAAAD/+/7o=")</f>
        <v>#VALUE!</v>
      </c>
      <c r="GF6">
        <f>IF(List1!155:155,"AAAAAD/+/7s=",0)</f>
        <v>0</v>
      </c>
      <c r="GG6" t="e">
        <f>AND(List1!A157,"AAAAAD/+/7w=")</f>
        <v>#VALUE!</v>
      </c>
      <c r="GH6" t="e">
        <f>AND(List1!B157,"AAAAAD/+/70=")</f>
        <v>#VALUE!</v>
      </c>
      <c r="GI6" t="e">
        <f>AND(List1!C157,"AAAAAD/+/74=")</f>
        <v>#VALUE!</v>
      </c>
      <c r="GJ6" t="e">
        <f>AND(List1!E157,"AAAAAD/+/78=")</f>
        <v>#VALUE!</v>
      </c>
      <c r="GK6" t="e">
        <f>AND(List1!F157,"AAAAAD/+/8A=")</f>
        <v>#VALUE!</v>
      </c>
      <c r="GL6" t="e">
        <f>AND(List1!G157,"AAAAAD/+/8E=")</f>
        <v>#VALUE!</v>
      </c>
      <c r="GM6" t="e">
        <f>AND(List1!H157,"AAAAAD/+/8I=")</f>
        <v>#VALUE!</v>
      </c>
      <c r="GN6" t="e">
        <f>AND(List1!I157,"AAAAAD/+/8M=")</f>
        <v>#VALUE!</v>
      </c>
      <c r="GO6">
        <f>IF(List1!156:156,"AAAAAD/+/8Q=",0)</f>
        <v>0</v>
      </c>
      <c r="GP6" t="e">
        <f>AND(List1!A158,"AAAAAD/+/8U=")</f>
        <v>#VALUE!</v>
      </c>
      <c r="GQ6" t="e">
        <f>AND(List1!B158,"AAAAAD/+/8Y=")</f>
        <v>#VALUE!</v>
      </c>
      <c r="GR6" t="e">
        <f>AND(List1!C158,"AAAAAD/+/8c=")</f>
        <v>#VALUE!</v>
      </c>
      <c r="GS6" t="e">
        <f>AND(List1!E158,"AAAAAD/+/8g=")</f>
        <v>#VALUE!</v>
      </c>
      <c r="GT6" t="e">
        <f>AND(List1!F158,"AAAAAD/+/8k=")</f>
        <v>#VALUE!</v>
      </c>
      <c r="GU6" t="e">
        <f>AND(List1!G158,"AAAAAD/+/8o=")</f>
        <v>#VALUE!</v>
      </c>
      <c r="GV6" t="e">
        <f>AND(List1!H158,"AAAAAD/+/8s=")</f>
        <v>#VALUE!</v>
      </c>
      <c r="GW6" t="e">
        <f>AND(List1!I158,"AAAAAD/+/8w=")</f>
        <v>#VALUE!</v>
      </c>
      <c r="GX6">
        <f>IF(List1!157:157,"AAAAAD/+/80=",0)</f>
        <v>0</v>
      </c>
      <c r="GY6" t="e">
        <f>AND(List1!A159,"AAAAAD/+/84=")</f>
        <v>#VALUE!</v>
      </c>
      <c r="GZ6" t="e">
        <f>AND(List1!B159,"AAAAAD/+/88=")</f>
        <v>#VALUE!</v>
      </c>
      <c r="HA6" t="e">
        <f>AND(List1!C159,"AAAAAD/+/9A=")</f>
        <v>#VALUE!</v>
      </c>
      <c r="HB6" t="e">
        <f>AND(List1!E159,"AAAAAD/+/9E=")</f>
        <v>#VALUE!</v>
      </c>
      <c r="HC6" t="e">
        <f>AND(List1!F159,"AAAAAD/+/9I=")</f>
        <v>#VALUE!</v>
      </c>
      <c r="HD6" t="e">
        <f>AND(List1!G159,"AAAAAD/+/9M=")</f>
        <v>#VALUE!</v>
      </c>
      <c r="HE6" t="e">
        <f>AND(List1!H159,"AAAAAD/+/9Q=")</f>
        <v>#VALUE!</v>
      </c>
      <c r="HF6" t="e">
        <f>AND(List1!I159,"AAAAAD/+/9U=")</f>
        <v>#VALUE!</v>
      </c>
      <c r="HG6">
        <f>IF(List1!158:158,"AAAAAD/+/9Y=",0)</f>
        <v>0</v>
      </c>
      <c r="HH6" t="e">
        <f>AND(List1!A160,"AAAAAD/+/9c=")</f>
        <v>#VALUE!</v>
      </c>
      <c r="HI6" t="e">
        <f>AND(List1!B160,"AAAAAD/+/9g=")</f>
        <v>#VALUE!</v>
      </c>
      <c r="HJ6" t="e">
        <f>AND(List1!C160,"AAAAAD/+/9k=")</f>
        <v>#VALUE!</v>
      </c>
      <c r="HK6" t="e">
        <f>AND(List1!E160,"AAAAAD/+/9o=")</f>
        <v>#VALUE!</v>
      </c>
      <c r="HL6" t="e">
        <f>AND(List1!F160,"AAAAAD/+/9s=")</f>
        <v>#VALUE!</v>
      </c>
      <c r="HM6" t="e">
        <f>AND(List1!G160,"AAAAAD/+/9w=")</f>
        <v>#VALUE!</v>
      </c>
      <c r="HN6" t="e">
        <f>AND(List1!H160,"AAAAAD/+/90=")</f>
        <v>#VALUE!</v>
      </c>
      <c r="HO6" t="e">
        <f>AND(List1!I160,"AAAAAD/+/94=")</f>
        <v>#VALUE!</v>
      </c>
      <c r="HP6">
        <f>IF(List1!159:159,"AAAAAD/+/98=",0)</f>
        <v>0</v>
      </c>
      <c r="HQ6" t="e">
        <f>AND(List1!A161,"AAAAAD/+/+A=")</f>
        <v>#VALUE!</v>
      </c>
      <c r="HR6" t="e">
        <f>AND(List1!B161,"AAAAAD/+/+E=")</f>
        <v>#VALUE!</v>
      </c>
      <c r="HS6" t="e">
        <f>AND(List1!C161,"AAAAAD/+/+I=")</f>
        <v>#VALUE!</v>
      </c>
      <c r="HT6" t="e">
        <f>AND(List1!E161,"AAAAAD/+/+M=")</f>
        <v>#VALUE!</v>
      </c>
      <c r="HU6" t="e">
        <f>AND(List1!F161,"AAAAAD/+/+Q=")</f>
        <v>#VALUE!</v>
      </c>
      <c r="HV6" t="e">
        <f>AND(List1!G161,"AAAAAD/+/+U=")</f>
        <v>#VALUE!</v>
      </c>
      <c r="HW6" t="e">
        <f>AND(List1!H161,"AAAAAD/+/+Y=")</f>
        <v>#VALUE!</v>
      </c>
      <c r="HX6" t="e">
        <f>AND(List1!I161,"AAAAAD/+/+c=")</f>
        <v>#VALUE!</v>
      </c>
      <c r="HY6">
        <f>IF(List1!160:160,"AAAAAD/+/+g=",0)</f>
        <v>0</v>
      </c>
      <c r="HZ6" t="e">
        <f>AND(List1!A162,"AAAAAD/+/+k=")</f>
        <v>#VALUE!</v>
      </c>
      <c r="IA6" t="e">
        <f>AND(List1!B162,"AAAAAD/+/+o=")</f>
        <v>#VALUE!</v>
      </c>
      <c r="IB6" t="e">
        <f>AND(List1!C162,"AAAAAD/+/+s=")</f>
        <v>#VALUE!</v>
      </c>
      <c r="IC6" t="e">
        <f>AND(List1!E162,"AAAAAD/+/+w=")</f>
        <v>#VALUE!</v>
      </c>
      <c r="ID6" t="e">
        <f>AND(List1!F162,"AAAAAD/+/+0=")</f>
        <v>#VALUE!</v>
      </c>
      <c r="IE6" t="e">
        <f>AND(List1!G162,"AAAAAD/+/+4=")</f>
        <v>#VALUE!</v>
      </c>
      <c r="IF6" t="e">
        <f>AND(List1!H162,"AAAAAD/+/+8=")</f>
        <v>#VALUE!</v>
      </c>
      <c r="IG6" t="e">
        <f>AND(List1!I162,"AAAAAD/+//A=")</f>
        <v>#VALUE!</v>
      </c>
      <c r="IH6">
        <f>IF(List1!161:161,"AAAAAD/+//E=",0)</f>
        <v>0</v>
      </c>
      <c r="II6" t="e">
        <f>AND(List1!A163,"AAAAAD/+//I=")</f>
        <v>#VALUE!</v>
      </c>
      <c r="IJ6" t="e">
        <f>AND(List1!B163,"AAAAAD/+//M=")</f>
        <v>#VALUE!</v>
      </c>
      <c r="IK6" t="e">
        <f>AND(List1!C163,"AAAAAD/+//Q=")</f>
        <v>#VALUE!</v>
      </c>
      <c r="IL6" t="e">
        <f>AND(List1!E163,"AAAAAD/+//U=")</f>
        <v>#VALUE!</v>
      </c>
      <c r="IM6" t="e">
        <f>AND(List1!F163,"AAAAAD/+//Y=")</f>
        <v>#VALUE!</v>
      </c>
      <c r="IN6" t="e">
        <f>AND(List1!G163,"AAAAAD/+//c=")</f>
        <v>#VALUE!</v>
      </c>
      <c r="IO6" t="e">
        <f>AND(List1!H163,"AAAAAD/+//g=")</f>
        <v>#VALUE!</v>
      </c>
      <c r="IP6" t="e">
        <f>AND(List1!I163,"AAAAAD/+//k=")</f>
        <v>#VALUE!</v>
      </c>
      <c r="IQ6">
        <f>IF(List1!162:162,"AAAAAD/+//o=",0)</f>
        <v>0</v>
      </c>
      <c r="IR6" t="e">
        <f>AND(List1!A164,"AAAAAD/+//s=")</f>
        <v>#VALUE!</v>
      </c>
      <c r="IS6" t="e">
        <f>AND(List1!B164,"AAAAAD/+//w=")</f>
        <v>#VALUE!</v>
      </c>
      <c r="IT6" t="e">
        <f>AND(List1!C164,"AAAAAD/+//0=")</f>
        <v>#VALUE!</v>
      </c>
      <c r="IU6" t="e">
        <f>AND(List1!E164,"AAAAAD/+//4=")</f>
        <v>#VALUE!</v>
      </c>
      <c r="IV6" t="e">
        <f>AND(List1!F164,"AAAAAD/+//8=")</f>
        <v>#VALUE!</v>
      </c>
    </row>
    <row r="7" spans="1:256" ht="12.75">
      <c r="A7" t="e">
        <f>AND(List1!G164,"AAAAAF5+7wA=")</f>
        <v>#VALUE!</v>
      </c>
      <c r="B7" t="e">
        <f>AND(List1!H164,"AAAAAF5+7wE=")</f>
        <v>#VALUE!</v>
      </c>
      <c r="C7" t="e">
        <f>AND(List1!I164,"AAAAAF5+7wI=")</f>
        <v>#VALUE!</v>
      </c>
      <c r="D7">
        <f>IF(List1!163:163,"AAAAAF5+7wM=",0)</f>
        <v>0</v>
      </c>
      <c r="E7" t="e">
        <f>AND(List1!A165,"AAAAAF5+7wQ=")</f>
        <v>#VALUE!</v>
      </c>
      <c r="F7" t="e">
        <f>AND(List1!B165,"AAAAAF5+7wU=")</f>
        <v>#VALUE!</v>
      </c>
      <c r="G7" t="e">
        <f>AND(List1!C165,"AAAAAF5+7wY=")</f>
        <v>#VALUE!</v>
      </c>
      <c r="H7" t="e">
        <f>AND(List1!E165,"AAAAAF5+7wc=")</f>
        <v>#VALUE!</v>
      </c>
      <c r="I7" t="e">
        <f>AND(List1!F165,"AAAAAF5+7wg=")</f>
        <v>#VALUE!</v>
      </c>
      <c r="J7" t="e">
        <f>AND(List1!G165,"AAAAAF5+7wk=")</f>
        <v>#VALUE!</v>
      </c>
      <c r="K7" t="e">
        <f>AND(List1!H165,"AAAAAF5+7wo=")</f>
        <v>#VALUE!</v>
      </c>
      <c r="L7" t="e">
        <f>AND(List1!I165,"AAAAAF5+7ws=")</f>
        <v>#VALUE!</v>
      </c>
      <c r="M7">
        <f>IF(List1!164:164,"AAAAAF5+7ww=",0)</f>
        <v>0</v>
      </c>
      <c r="N7" t="e">
        <f>AND(List1!A166,"AAAAAF5+7w0=")</f>
        <v>#VALUE!</v>
      </c>
      <c r="O7" t="e">
        <f>AND(List1!B166,"AAAAAF5+7w4=")</f>
        <v>#VALUE!</v>
      </c>
      <c r="P7" t="e">
        <f>AND(List1!C166,"AAAAAF5+7w8=")</f>
        <v>#VALUE!</v>
      </c>
      <c r="Q7" t="e">
        <f>AND(List1!E166,"AAAAAF5+7xA=")</f>
        <v>#VALUE!</v>
      </c>
      <c r="R7" t="e">
        <f>AND(List1!F166,"AAAAAF5+7xE=")</f>
        <v>#VALUE!</v>
      </c>
      <c r="S7" t="e">
        <f>AND(List1!G166,"AAAAAF5+7xI=")</f>
        <v>#VALUE!</v>
      </c>
      <c r="T7" t="e">
        <f>AND(List1!H166,"AAAAAF5+7xM=")</f>
        <v>#VALUE!</v>
      </c>
      <c r="U7" t="e">
        <f>AND(List1!I166,"AAAAAF5+7xQ=")</f>
        <v>#VALUE!</v>
      </c>
      <c r="V7">
        <f>IF(List1!165:165,"AAAAAF5+7xU=",0)</f>
        <v>0</v>
      </c>
      <c r="W7" t="e">
        <f>AND(List1!A167,"AAAAAF5+7xY=")</f>
        <v>#VALUE!</v>
      </c>
      <c r="X7" t="e">
        <f>AND(List1!B167,"AAAAAF5+7xc=")</f>
        <v>#VALUE!</v>
      </c>
      <c r="Y7" t="e">
        <f>AND(List1!C167,"AAAAAF5+7xg=")</f>
        <v>#VALUE!</v>
      </c>
      <c r="Z7" t="e">
        <f>AND(List1!E167,"AAAAAF5+7xk=")</f>
        <v>#VALUE!</v>
      </c>
      <c r="AA7" t="e">
        <f>AND(List1!F167,"AAAAAF5+7xo=")</f>
        <v>#VALUE!</v>
      </c>
      <c r="AB7" t="e">
        <f>AND(List1!G167,"AAAAAF5+7xs=")</f>
        <v>#VALUE!</v>
      </c>
      <c r="AC7" t="e">
        <f>AND(List1!H167,"AAAAAF5+7xw=")</f>
        <v>#VALUE!</v>
      </c>
      <c r="AD7" t="e">
        <f>AND(List1!I167,"AAAAAF5+7x0=")</f>
        <v>#VALUE!</v>
      </c>
      <c r="AE7">
        <f>IF(List1!166:166,"AAAAAF5+7x4=",0)</f>
        <v>0</v>
      </c>
      <c r="AF7" t="e">
        <f>AND(List1!A168,"AAAAAF5+7x8=")</f>
        <v>#VALUE!</v>
      </c>
      <c r="AG7" t="e">
        <f>AND(List1!B168,"AAAAAF5+7yA=")</f>
        <v>#VALUE!</v>
      </c>
      <c r="AH7" t="e">
        <f>AND(List1!C168,"AAAAAF5+7yE=")</f>
        <v>#VALUE!</v>
      </c>
      <c r="AI7" t="e">
        <f>AND(List1!E168,"AAAAAF5+7yI=")</f>
        <v>#VALUE!</v>
      </c>
      <c r="AJ7" t="e">
        <f>AND(List1!F168,"AAAAAF5+7yM=")</f>
        <v>#VALUE!</v>
      </c>
      <c r="AK7" t="e">
        <f>AND(List1!G168,"AAAAAF5+7yQ=")</f>
        <v>#VALUE!</v>
      </c>
      <c r="AL7" t="e">
        <f>AND(List1!H168,"AAAAAF5+7yU=")</f>
        <v>#VALUE!</v>
      </c>
      <c r="AM7" t="e">
        <f>AND(List1!I168,"AAAAAF5+7yY=")</f>
        <v>#VALUE!</v>
      </c>
      <c r="AN7">
        <f>IF(List1!167:167,"AAAAAF5+7yc=",0)</f>
        <v>0</v>
      </c>
      <c r="AO7" t="e">
        <f>AND(List1!A169,"AAAAAF5+7yg=")</f>
        <v>#VALUE!</v>
      </c>
      <c r="AP7" t="e">
        <f>AND(List1!B169,"AAAAAF5+7yk=")</f>
        <v>#VALUE!</v>
      </c>
      <c r="AQ7" t="e">
        <f>AND(List1!C169,"AAAAAF5+7yo=")</f>
        <v>#VALUE!</v>
      </c>
      <c r="AR7" t="e">
        <f>AND(List1!E169,"AAAAAF5+7ys=")</f>
        <v>#VALUE!</v>
      </c>
      <c r="AS7" t="e">
        <f>AND(List1!F169,"AAAAAF5+7yw=")</f>
        <v>#VALUE!</v>
      </c>
      <c r="AT7" t="e">
        <f>AND(List1!G169,"AAAAAF5+7y0=")</f>
        <v>#VALUE!</v>
      </c>
      <c r="AU7" t="e">
        <f>AND(List1!H169,"AAAAAF5+7y4=")</f>
        <v>#VALUE!</v>
      </c>
      <c r="AV7" t="e">
        <f>AND(List1!I169,"AAAAAF5+7y8=")</f>
        <v>#VALUE!</v>
      </c>
      <c r="AW7">
        <f>IF(List1!168:168,"AAAAAF5+7zA=",0)</f>
        <v>0</v>
      </c>
      <c r="AX7" t="e">
        <f>AND(List1!A170,"AAAAAF5+7zE=")</f>
        <v>#VALUE!</v>
      </c>
      <c r="AY7" t="e">
        <f>AND(List1!B170,"AAAAAF5+7zI=")</f>
        <v>#VALUE!</v>
      </c>
      <c r="AZ7" t="e">
        <f>AND(List1!C170,"AAAAAF5+7zM=")</f>
        <v>#VALUE!</v>
      </c>
      <c r="BA7" t="e">
        <f>AND(List1!E170,"AAAAAF5+7zQ=")</f>
        <v>#VALUE!</v>
      </c>
      <c r="BB7" t="e">
        <f>AND(List1!F170,"AAAAAF5+7zU=")</f>
        <v>#VALUE!</v>
      </c>
      <c r="BC7" t="e">
        <f>AND(List1!G170,"AAAAAF5+7zY=")</f>
        <v>#VALUE!</v>
      </c>
      <c r="BD7" t="e">
        <f>AND(List1!H170,"AAAAAF5+7zc=")</f>
        <v>#VALUE!</v>
      </c>
      <c r="BE7" t="e">
        <f>AND(List1!I170,"AAAAAF5+7zg=")</f>
        <v>#VALUE!</v>
      </c>
      <c r="BF7">
        <f>IF(List1!169:169,"AAAAAF5+7zk=",0)</f>
        <v>0</v>
      </c>
      <c r="BG7" t="e">
        <f>AND(List1!A171,"AAAAAF5+7zo=")</f>
        <v>#VALUE!</v>
      </c>
      <c r="BH7" t="e">
        <f>AND(List1!B171,"AAAAAF5+7zs=")</f>
        <v>#VALUE!</v>
      </c>
      <c r="BI7" t="e">
        <f>AND(List1!C171,"AAAAAF5+7zw=")</f>
        <v>#VALUE!</v>
      </c>
      <c r="BJ7" t="e">
        <f>AND(List1!E171,"AAAAAF5+7z0=")</f>
        <v>#VALUE!</v>
      </c>
      <c r="BK7" t="e">
        <f>AND(List1!F171,"AAAAAF5+7z4=")</f>
        <v>#VALUE!</v>
      </c>
      <c r="BL7" t="e">
        <f>AND(List1!G171,"AAAAAF5+7z8=")</f>
        <v>#VALUE!</v>
      </c>
      <c r="BM7" t="e">
        <f>AND(List1!H171,"AAAAAF5+70A=")</f>
        <v>#VALUE!</v>
      </c>
      <c r="BN7" t="e">
        <f>AND(List1!I171,"AAAAAF5+70E=")</f>
        <v>#VALUE!</v>
      </c>
      <c r="BO7">
        <f>IF(List1!170:170,"AAAAAF5+70I=",0)</f>
        <v>0</v>
      </c>
      <c r="BP7" t="e">
        <f>AND(List1!A172,"AAAAAF5+70M=")</f>
        <v>#VALUE!</v>
      </c>
      <c r="BQ7" t="e">
        <f>AND(List1!B172,"AAAAAF5+70Q=")</f>
        <v>#VALUE!</v>
      </c>
      <c r="BR7" t="e">
        <f>AND(List1!C172,"AAAAAF5+70U=")</f>
        <v>#VALUE!</v>
      </c>
      <c r="BS7" t="e">
        <f>AND(List1!E172,"AAAAAF5+70Y=")</f>
        <v>#VALUE!</v>
      </c>
      <c r="BT7" t="e">
        <f>AND(List1!F172,"AAAAAF5+70c=")</f>
        <v>#VALUE!</v>
      </c>
      <c r="BU7" t="e">
        <f>AND(List1!G172,"AAAAAF5+70g=")</f>
        <v>#VALUE!</v>
      </c>
      <c r="BV7" t="e">
        <f>AND(List1!H172,"AAAAAF5+70k=")</f>
        <v>#VALUE!</v>
      </c>
      <c r="BW7" t="e">
        <f>AND(List1!I172,"AAAAAF5+70o=")</f>
        <v>#VALUE!</v>
      </c>
      <c r="BX7">
        <f>IF(List1!171:171,"AAAAAF5+70s=",0)</f>
        <v>0</v>
      </c>
      <c r="BY7" t="e">
        <f>AND(List1!A173,"AAAAAF5+70w=")</f>
        <v>#VALUE!</v>
      </c>
      <c r="BZ7" t="e">
        <f>AND(List1!B173,"AAAAAF5+700=")</f>
        <v>#VALUE!</v>
      </c>
      <c r="CA7" t="e">
        <f>AND(List1!C173,"AAAAAF5+704=")</f>
        <v>#VALUE!</v>
      </c>
      <c r="CB7" t="e">
        <f>AND(List1!E173,"AAAAAF5+708=")</f>
        <v>#VALUE!</v>
      </c>
      <c r="CC7" t="e">
        <f>AND(List1!F173,"AAAAAF5+71A=")</f>
        <v>#VALUE!</v>
      </c>
      <c r="CD7" t="e">
        <f>AND(List1!G173,"AAAAAF5+71E=")</f>
        <v>#VALUE!</v>
      </c>
      <c r="CE7" t="e">
        <f>AND(List1!H173,"AAAAAF5+71I=")</f>
        <v>#VALUE!</v>
      </c>
      <c r="CF7" t="e">
        <f>AND(List1!I173,"AAAAAF5+71M=")</f>
        <v>#VALUE!</v>
      </c>
      <c r="CG7">
        <f>IF(List1!172:172,"AAAAAF5+71Q=",0)</f>
        <v>0</v>
      </c>
      <c r="CH7" t="e">
        <f>AND(List1!A174,"AAAAAF5+71U=")</f>
        <v>#VALUE!</v>
      </c>
      <c r="CI7" t="e">
        <f>AND(List1!B174,"AAAAAF5+71Y=")</f>
        <v>#VALUE!</v>
      </c>
      <c r="CJ7" t="e">
        <f>AND(List1!C174,"AAAAAF5+71c=")</f>
        <v>#VALUE!</v>
      </c>
      <c r="CK7" t="e">
        <f>AND(List1!E174,"AAAAAF5+71g=")</f>
        <v>#VALUE!</v>
      </c>
      <c r="CL7" t="e">
        <f>AND(List1!F174,"AAAAAF5+71k=")</f>
        <v>#VALUE!</v>
      </c>
      <c r="CM7" t="e">
        <f>AND(List1!G174,"AAAAAF5+71o=")</f>
        <v>#VALUE!</v>
      </c>
      <c r="CN7" t="e">
        <f>AND(List1!H174,"AAAAAF5+71s=")</f>
        <v>#VALUE!</v>
      </c>
      <c r="CO7" t="e">
        <f>AND(List1!I174,"AAAAAF5+71w=")</f>
        <v>#VALUE!</v>
      </c>
      <c r="CP7">
        <f>IF(List1!173:173,"AAAAAF5+710=",0)</f>
        <v>0</v>
      </c>
      <c r="CQ7" t="e">
        <f>AND(List1!A175,"AAAAAF5+714=")</f>
        <v>#VALUE!</v>
      </c>
      <c r="CR7" t="e">
        <f>AND(List1!B175,"AAAAAF5+718=")</f>
        <v>#VALUE!</v>
      </c>
      <c r="CS7" t="e">
        <f>AND(List1!C175,"AAAAAF5+72A=")</f>
        <v>#VALUE!</v>
      </c>
      <c r="CT7" t="e">
        <f>AND(List1!E175,"AAAAAF5+72E=")</f>
        <v>#VALUE!</v>
      </c>
      <c r="CU7" t="e">
        <f>AND(List1!F175,"AAAAAF5+72I=")</f>
        <v>#VALUE!</v>
      </c>
      <c r="CV7" t="e">
        <f>AND(List1!G175,"AAAAAF5+72M=")</f>
        <v>#VALUE!</v>
      </c>
      <c r="CW7" t="e">
        <f>AND(List1!H175,"AAAAAF5+72Q=")</f>
        <v>#VALUE!</v>
      </c>
      <c r="CX7" t="e">
        <f>AND(List1!I175,"AAAAAF5+72U=")</f>
        <v>#VALUE!</v>
      </c>
      <c r="CY7">
        <f>IF(List1!174:174,"AAAAAF5+72Y=",0)</f>
        <v>0</v>
      </c>
      <c r="CZ7" t="e">
        <f>AND(List1!A176,"AAAAAF5+72c=")</f>
        <v>#VALUE!</v>
      </c>
      <c r="DA7" t="e">
        <f>AND(List1!B176,"AAAAAF5+72g=")</f>
        <v>#VALUE!</v>
      </c>
      <c r="DB7" t="e">
        <f>AND(List1!C176,"AAAAAF5+72k=")</f>
        <v>#VALUE!</v>
      </c>
      <c r="DC7" t="e">
        <f>AND(List1!E176,"AAAAAF5+72o=")</f>
        <v>#VALUE!</v>
      </c>
      <c r="DD7" t="e">
        <f>AND(List1!F176,"AAAAAF5+72s=")</f>
        <v>#VALUE!</v>
      </c>
      <c r="DE7" t="e">
        <f>AND(List1!G176,"AAAAAF5+72w=")</f>
        <v>#VALUE!</v>
      </c>
      <c r="DF7" t="e">
        <f>AND(List1!H176,"AAAAAF5+720=")</f>
        <v>#VALUE!</v>
      </c>
      <c r="DG7" t="e">
        <f>AND(List1!I176,"AAAAAF5+724=")</f>
        <v>#VALUE!</v>
      </c>
      <c r="DH7">
        <f>IF(List1!175:175,"AAAAAF5+728=",0)</f>
        <v>0</v>
      </c>
      <c r="DI7" t="e">
        <f>AND(List1!A177,"AAAAAF5+73A=")</f>
        <v>#VALUE!</v>
      </c>
      <c r="DJ7" t="e">
        <f>AND(List1!B177,"AAAAAF5+73E=")</f>
        <v>#VALUE!</v>
      </c>
      <c r="DK7" t="e">
        <f>AND(List1!C177,"AAAAAF5+73I=")</f>
        <v>#VALUE!</v>
      </c>
      <c r="DL7" t="e">
        <f>AND(List1!E177,"AAAAAF5+73M=")</f>
        <v>#VALUE!</v>
      </c>
      <c r="DM7" t="e">
        <f>AND(List1!F177,"AAAAAF5+73Q=")</f>
        <v>#VALUE!</v>
      </c>
      <c r="DN7" t="e">
        <f>AND(List1!G177,"AAAAAF5+73U=")</f>
        <v>#VALUE!</v>
      </c>
      <c r="DO7" t="e">
        <f>AND(List1!H177,"AAAAAF5+73Y=")</f>
        <v>#VALUE!</v>
      </c>
      <c r="DP7" t="e">
        <f>AND(List1!I177,"AAAAAF5+73c=")</f>
        <v>#VALUE!</v>
      </c>
      <c r="DQ7">
        <f>IF(List1!176:176,"AAAAAF5+73g=",0)</f>
        <v>0</v>
      </c>
      <c r="DR7" t="e">
        <f>AND(List1!A178,"AAAAAF5+73k=")</f>
        <v>#VALUE!</v>
      </c>
      <c r="DS7" t="e">
        <f>AND(List1!B178,"AAAAAF5+73o=")</f>
        <v>#VALUE!</v>
      </c>
      <c r="DT7" t="e">
        <f>AND(List1!C178,"AAAAAF5+73s=")</f>
        <v>#VALUE!</v>
      </c>
      <c r="DU7" t="e">
        <f>AND(List1!E178,"AAAAAF5+73w=")</f>
        <v>#VALUE!</v>
      </c>
      <c r="DV7" t="e">
        <f>AND(List1!F178,"AAAAAF5+730=")</f>
        <v>#VALUE!</v>
      </c>
      <c r="DW7" t="e">
        <f>AND(List1!G178,"AAAAAF5+734=")</f>
        <v>#VALUE!</v>
      </c>
      <c r="DX7" t="e">
        <f>AND(List1!H178,"AAAAAF5+738=")</f>
        <v>#VALUE!</v>
      </c>
      <c r="DY7" t="e">
        <f>AND(List1!I178,"AAAAAF5+74A=")</f>
        <v>#VALUE!</v>
      </c>
      <c r="DZ7">
        <f>IF(List1!177:177,"AAAAAF5+74E=",0)</f>
        <v>0</v>
      </c>
      <c r="EA7" t="e">
        <f>AND(List1!A179,"AAAAAF5+74I=")</f>
        <v>#VALUE!</v>
      </c>
      <c r="EB7" t="e">
        <f>AND(List1!B179,"AAAAAF5+74M=")</f>
        <v>#VALUE!</v>
      </c>
      <c r="EC7" t="e">
        <f>AND(List1!C179,"AAAAAF5+74Q=")</f>
        <v>#VALUE!</v>
      </c>
      <c r="ED7" t="e">
        <f>AND(List1!E179,"AAAAAF5+74U=")</f>
        <v>#VALUE!</v>
      </c>
      <c r="EE7" t="e">
        <f>AND(List1!F179,"AAAAAF5+74Y=")</f>
        <v>#VALUE!</v>
      </c>
      <c r="EF7" t="e">
        <f>AND(List1!G179,"AAAAAF5+74c=")</f>
        <v>#VALUE!</v>
      </c>
      <c r="EG7" t="e">
        <f>AND(List1!H179,"AAAAAF5+74g=")</f>
        <v>#VALUE!</v>
      </c>
      <c r="EH7" t="e">
        <f>AND(List1!I179,"AAAAAF5+74k=")</f>
        <v>#VALUE!</v>
      </c>
      <c r="EI7">
        <f>IF(List1!178:178,"AAAAAF5+74o=",0)</f>
        <v>0</v>
      </c>
      <c r="EJ7" t="e">
        <f>AND(List1!A180,"AAAAAF5+74s=")</f>
        <v>#VALUE!</v>
      </c>
      <c r="EK7" t="e">
        <f>AND(List1!B180,"AAAAAF5+74w=")</f>
        <v>#VALUE!</v>
      </c>
      <c r="EL7" t="e">
        <f>AND(List1!C180,"AAAAAF5+740=")</f>
        <v>#VALUE!</v>
      </c>
      <c r="EM7" t="e">
        <f>AND(List1!E180,"AAAAAF5+744=")</f>
        <v>#VALUE!</v>
      </c>
      <c r="EN7" t="e">
        <f>AND(List1!F180,"AAAAAF5+748=")</f>
        <v>#VALUE!</v>
      </c>
      <c r="EO7" t="e">
        <f>AND(List1!G180,"AAAAAF5+75A=")</f>
        <v>#VALUE!</v>
      </c>
      <c r="EP7" t="e">
        <f>AND(List1!H180,"AAAAAF5+75E=")</f>
        <v>#VALUE!</v>
      </c>
      <c r="EQ7" t="e">
        <f>AND(List1!I180,"AAAAAF5+75I=")</f>
        <v>#VALUE!</v>
      </c>
      <c r="ER7">
        <f>IF(List1!179:179,"AAAAAF5+75M=",0)</f>
        <v>0</v>
      </c>
      <c r="ES7" t="e">
        <f>AND(List1!A181,"AAAAAF5+75Q=")</f>
        <v>#VALUE!</v>
      </c>
      <c r="ET7" t="e">
        <f>AND(List1!B181,"AAAAAF5+75U=")</f>
        <v>#VALUE!</v>
      </c>
      <c r="EU7" t="e">
        <f>AND(List1!C181,"AAAAAF5+75Y=")</f>
        <v>#VALUE!</v>
      </c>
      <c r="EV7" t="e">
        <f>AND(List1!E181,"AAAAAF5+75c=")</f>
        <v>#VALUE!</v>
      </c>
      <c r="EW7" t="e">
        <f>AND(List1!F181,"AAAAAF5+75g=")</f>
        <v>#VALUE!</v>
      </c>
      <c r="EX7" t="e">
        <f>AND(List1!G181,"AAAAAF5+75k=")</f>
        <v>#VALUE!</v>
      </c>
      <c r="EY7" t="e">
        <f>AND(List1!H181,"AAAAAF5+75o=")</f>
        <v>#VALUE!</v>
      </c>
      <c r="EZ7" t="e">
        <f>AND(List1!I181,"AAAAAF5+75s=")</f>
        <v>#VALUE!</v>
      </c>
      <c r="FA7">
        <f>IF(List1!180:180,"AAAAAF5+75w=",0)</f>
        <v>0</v>
      </c>
      <c r="FB7" t="e">
        <f>AND(List1!A182,"AAAAAF5+750=")</f>
        <v>#VALUE!</v>
      </c>
      <c r="FC7" t="e">
        <f>AND(List1!B182,"AAAAAF5+754=")</f>
        <v>#VALUE!</v>
      </c>
      <c r="FD7" t="e">
        <f>AND(List1!C182,"AAAAAF5+758=")</f>
        <v>#VALUE!</v>
      </c>
      <c r="FE7" t="e">
        <f>AND(List1!E182,"AAAAAF5+76A=")</f>
        <v>#VALUE!</v>
      </c>
      <c r="FF7" t="e">
        <f>AND(List1!F182,"AAAAAF5+76E=")</f>
        <v>#VALUE!</v>
      </c>
      <c r="FG7" t="e">
        <f>AND(List1!G182,"AAAAAF5+76I=")</f>
        <v>#VALUE!</v>
      </c>
      <c r="FH7" t="e">
        <f>AND(List1!H182,"AAAAAF5+76M=")</f>
        <v>#VALUE!</v>
      </c>
      <c r="FI7" t="e">
        <f>AND(List1!I182,"AAAAAF5+76Q=")</f>
        <v>#VALUE!</v>
      </c>
      <c r="FJ7">
        <f>IF(List1!181:181,"AAAAAF5+76U=",0)</f>
        <v>0</v>
      </c>
      <c r="FK7" t="e">
        <f>AND(List1!A183,"AAAAAF5+76Y=")</f>
        <v>#VALUE!</v>
      </c>
      <c r="FL7" t="e">
        <f>AND(List1!B183,"AAAAAF5+76c=")</f>
        <v>#VALUE!</v>
      </c>
      <c r="FM7" t="e">
        <f>AND(List1!C183,"AAAAAF5+76g=")</f>
        <v>#VALUE!</v>
      </c>
      <c r="FN7" t="e">
        <f>AND(List1!E183,"AAAAAF5+76k=")</f>
        <v>#VALUE!</v>
      </c>
      <c r="FO7" t="e">
        <f>AND(List1!F183,"AAAAAF5+76o=")</f>
        <v>#VALUE!</v>
      </c>
      <c r="FP7" t="e">
        <f>AND(List1!G183,"AAAAAF5+76s=")</f>
        <v>#VALUE!</v>
      </c>
      <c r="FQ7" t="e">
        <f>AND(List1!H183,"AAAAAF5+76w=")</f>
        <v>#VALUE!</v>
      </c>
      <c r="FR7" t="e">
        <f>AND(List1!I183,"AAAAAF5+760=")</f>
        <v>#VALUE!</v>
      </c>
      <c r="FS7">
        <f>IF(List1!182:182,"AAAAAF5+764=",0)</f>
        <v>0</v>
      </c>
      <c r="FT7" t="e">
        <f>AND(List1!A184,"AAAAAF5+768=")</f>
        <v>#VALUE!</v>
      </c>
      <c r="FU7" t="e">
        <f>AND(List1!B184,"AAAAAF5+77A=")</f>
        <v>#VALUE!</v>
      </c>
      <c r="FV7" t="e">
        <f>AND(List1!C184,"AAAAAF5+77E=")</f>
        <v>#VALUE!</v>
      </c>
      <c r="FW7" t="e">
        <f>AND(List1!E184,"AAAAAF5+77I=")</f>
        <v>#VALUE!</v>
      </c>
      <c r="FX7" t="e">
        <f>AND(List1!F184,"AAAAAF5+77M=")</f>
        <v>#VALUE!</v>
      </c>
      <c r="FY7" t="e">
        <f>AND(List1!G184,"AAAAAF5+77Q=")</f>
        <v>#VALUE!</v>
      </c>
      <c r="FZ7" t="e">
        <f>AND(List1!H184,"AAAAAF5+77U=")</f>
        <v>#VALUE!</v>
      </c>
      <c r="GA7" t="e">
        <f>AND(List1!I184,"AAAAAF5+77Y=")</f>
        <v>#VALUE!</v>
      </c>
      <c r="GB7">
        <f>IF(List1!183:183,"AAAAAF5+77c=",0)</f>
        <v>0</v>
      </c>
      <c r="GC7" t="e">
        <f>AND(List1!A185,"AAAAAF5+77g=")</f>
        <v>#VALUE!</v>
      </c>
      <c r="GD7" t="e">
        <f>AND(List1!B185,"AAAAAF5+77k=")</f>
        <v>#VALUE!</v>
      </c>
      <c r="GE7" t="e">
        <f>AND(List1!C185,"AAAAAF5+77o=")</f>
        <v>#VALUE!</v>
      </c>
      <c r="GF7" t="e">
        <f>AND(List1!E185,"AAAAAF5+77s=")</f>
        <v>#VALUE!</v>
      </c>
      <c r="GG7" t="e">
        <f>AND(List1!F185,"AAAAAF5+77w=")</f>
        <v>#VALUE!</v>
      </c>
      <c r="GH7" t="e">
        <f>AND(List1!G185,"AAAAAF5+770=")</f>
        <v>#VALUE!</v>
      </c>
      <c r="GI7" t="e">
        <f>AND(List1!H185,"AAAAAF5+774=")</f>
        <v>#VALUE!</v>
      </c>
      <c r="GJ7" t="e">
        <f>AND(List1!I185,"AAAAAF5+778=")</f>
        <v>#VALUE!</v>
      </c>
      <c r="GK7">
        <f>IF(List1!184:184,"AAAAAF5+78A=",0)</f>
        <v>0</v>
      </c>
      <c r="GL7" t="e">
        <f>AND(List1!A186,"AAAAAF5+78E=")</f>
        <v>#VALUE!</v>
      </c>
      <c r="GM7" t="e">
        <f>AND(List1!B186,"AAAAAF5+78I=")</f>
        <v>#VALUE!</v>
      </c>
      <c r="GN7" t="e">
        <f>AND(List1!C186,"AAAAAF5+78M=")</f>
        <v>#VALUE!</v>
      </c>
      <c r="GO7" t="e">
        <f>AND(List1!E186,"AAAAAF5+78Q=")</f>
        <v>#VALUE!</v>
      </c>
      <c r="GP7" t="e">
        <f>AND(List1!F186,"AAAAAF5+78U=")</f>
        <v>#VALUE!</v>
      </c>
      <c r="GQ7" t="e">
        <f>AND(List1!G186,"AAAAAF5+78Y=")</f>
        <v>#VALUE!</v>
      </c>
      <c r="GR7" t="e">
        <f>AND(List1!H186,"AAAAAF5+78c=")</f>
        <v>#VALUE!</v>
      </c>
      <c r="GS7" t="e">
        <f>AND(List1!I186,"AAAAAF5+78g=")</f>
        <v>#VALUE!</v>
      </c>
      <c r="GT7">
        <f>IF(List1!185:185,"AAAAAF5+78k=",0)</f>
        <v>0</v>
      </c>
      <c r="GU7" t="e">
        <f>AND(List1!A187,"AAAAAF5+78o=")</f>
        <v>#VALUE!</v>
      </c>
      <c r="GV7" t="e">
        <f>AND(List1!B187,"AAAAAF5+78s=")</f>
        <v>#VALUE!</v>
      </c>
      <c r="GW7" t="e">
        <f>AND(List1!C187,"AAAAAF5+78w=")</f>
        <v>#VALUE!</v>
      </c>
      <c r="GX7" t="e">
        <f>AND(List1!E187,"AAAAAF5+780=")</f>
        <v>#VALUE!</v>
      </c>
      <c r="GY7" t="e">
        <f>AND(List1!F187,"AAAAAF5+784=")</f>
        <v>#VALUE!</v>
      </c>
      <c r="GZ7" t="e">
        <f>AND(List1!G187,"AAAAAF5+788=")</f>
        <v>#VALUE!</v>
      </c>
      <c r="HA7" t="e">
        <f>AND(List1!H187,"AAAAAF5+79A=")</f>
        <v>#VALUE!</v>
      </c>
      <c r="HB7" t="e">
        <f>AND(List1!I187,"AAAAAF5+79E=")</f>
        <v>#VALUE!</v>
      </c>
      <c r="HC7" t="e">
        <f>IF(List1!#REF!,"AAAAAF5+79I=",0)</f>
        <v>#REF!</v>
      </c>
      <c r="HD7" t="e">
        <f>AND(List1!#REF!,"AAAAAF5+79M=")</f>
        <v>#REF!</v>
      </c>
      <c r="HE7" t="e">
        <f>AND(List1!#REF!,"AAAAAF5+79Q=")</f>
        <v>#REF!</v>
      </c>
      <c r="HF7" t="e">
        <f>AND(List1!#REF!,"AAAAAF5+79U=")</f>
        <v>#REF!</v>
      </c>
      <c r="HG7" t="e">
        <f>AND(List1!#REF!,"AAAAAF5+79Y=")</f>
        <v>#REF!</v>
      </c>
      <c r="HH7" t="e">
        <f>AND(List1!#REF!,"AAAAAF5+79c=")</f>
        <v>#REF!</v>
      </c>
      <c r="HI7" t="e">
        <f>AND(List1!#REF!,"AAAAAF5+79g=")</f>
        <v>#REF!</v>
      </c>
      <c r="HJ7" t="e">
        <f>AND(List1!#REF!,"AAAAAF5+79k=")</f>
        <v>#REF!</v>
      </c>
      <c r="HK7" t="e">
        <f>AND(List1!#REF!,"AAAAAF5+79o=")</f>
        <v>#REF!</v>
      </c>
      <c r="HL7" t="e">
        <f>IF(List1!#REF!,"AAAAAF5+79s=",0)</f>
        <v>#REF!</v>
      </c>
      <c r="HM7" t="e">
        <f>AND(List1!#REF!,"AAAAAF5+79w=")</f>
        <v>#REF!</v>
      </c>
      <c r="HN7" t="e">
        <f>AND(List1!#REF!,"AAAAAF5+790=")</f>
        <v>#REF!</v>
      </c>
      <c r="HO7" t="e">
        <f>AND(List1!#REF!,"AAAAAF5+794=")</f>
        <v>#REF!</v>
      </c>
      <c r="HP7" t="e">
        <f>AND(List1!#REF!,"AAAAAF5+798=")</f>
        <v>#REF!</v>
      </c>
      <c r="HQ7" t="e">
        <f>AND(List1!#REF!,"AAAAAF5+7+A=")</f>
        <v>#REF!</v>
      </c>
      <c r="HR7" t="e">
        <f>AND(List1!#REF!,"AAAAAF5+7+E=")</f>
        <v>#REF!</v>
      </c>
      <c r="HS7" t="e">
        <f>AND(List1!#REF!,"AAAAAF5+7+I=")</f>
        <v>#REF!</v>
      </c>
      <c r="HT7" t="e">
        <f>AND(List1!#REF!,"AAAAAF5+7+M=")</f>
        <v>#REF!</v>
      </c>
      <c r="HU7">
        <f>IF(List1!186:186,"AAAAAF5+7+Q=",0)</f>
        <v>0</v>
      </c>
      <c r="HV7" t="e">
        <f>AND(List1!A188,"AAAAAF5+7+U=")</f>
        <v>#VALUE!</v>
      </c>
      <c r="HW7" t="e">
        <f>AND(List1!B188,"AAAAAF5+7+Y=")</f>
        <v>#VALUE!</v>
      </c>
      <c r="HX7" t="e">
        <f>AND(List1!C188,"AAAAAF5+7+c=")</f>
        <v>#VALUE!</v>
      </c>
      <c r="HY7" t="e">
        <f>AND(List1!E188,"AAAAAF5+7+g=")</f>
        <v>#VALUE!</v>
      </c>
      <c r="HZ7" t="e">
        <f>AND(List1!F188,"AAAAAF5+7+k=")</f>
        <v>#VALUE!</v>
      </c>
      <c r="IA7" t="e">
        <f>AND(List1!G188,"AAAAAF5+7+o=")</f>
        <v>#VALUE!</v>
      </c>
      <c r="IB7" t="e">
        <f>AND(List1!H188,"AAAAAF5+7+s=")</f>
        <v>#VALUE!</v>
      </c>
      <c r="IC7" t="e">
        <f>AND(List1!I188,"AAAAAF5+7+w=")</f>
        <v>#VALUE!</v>
      </c>
      <c r="ID7">
        <f>IF(List1!187:187,"AAAAAF5+7+0=",0)</f>
        <v>0</v>
      </c>
      <c r="IE7" t="e">
        <f>AND(List1!A189,"AAAAAF5+7+4=")</f>
        <v>#VALUE!</v>
      </c>
      <c r="IF7" t="e">
        <f>AND(List1!B189,"AAAAAF5+7+8=")</f>
        <v>#VALUE!</v>
      </c>
      <c r="IG7" t="e">
        <f>AND(List1!C189,"AAAAAF5+7/A=")</f>
        <v>#VALUE!</v>
      </c>
      <c r="IH7" t="e">
        <f>AND(List1!E189,"AAAAAF5+7/E=")</f>
        <v>#VALUE!</v>
      </c>
      <c r="II7" t="e">
        <f>AND(List1!F189,"AAAAAF5+7/I=")</f>
        <v>#VALUE!</v>
      </c>
      <c r="IJ7" t="e">
        <f>AND(List1!G189,"AAAAAF5+7/M=")</f>
        <v>#VALUE!</v>
      </c>
      <c r="IK7" t="e">
        <f>AND(List1!H189,"AAAAAF5+7/Q=")</f>
        <v>#VALUE!</v>
      </c>
      <c r="IL7" t="e">
        <f>AND(List1!I189,"AAAAAF5+7/U=")</f>
        <v>#VALUE!</v>
      </c>
      <c r="IM7">
        <f>IF(List1!188:188,"AAAAAF5+7/Y=",0)</f>
        <v>0</v>
      </c>
      <c r="IN7" t="e">
        <f>AND(List1!A190,"AAAAAF5+7/c=")</f>
        <v>#VALUE!</v>
      </c>
      <c r="IO7" t="e">
        <f>AND(List1!B190,"AAAAAF5+7/g=")</f>
        <v>#VALUE!</v>
      </c>
      <c r="IP7" t="e">
        <f>AND(List1!C190,"AAAAAF5+7/k=")</f>
        <v>#VALUE!</v>
      </c>
      <c r="IQ7" t="e">
        <f>AND(List1!E190,"AAAAAF5+7/o=")</f>
        <v>#VALUE!</v>
      </c>
      <c r="IR7" t="e">
        <f>AND(List1!F190,"AAAAAF5+7/s=")</f>
        <v>#VALUE!</v>
      </c>
      <c r="IS7" t="e">
        <f>AND(List1!G190,"AAAAAF5+7/w=")</f>
        <v>#VALUE!</v>
      </c>
      <c r="IT7" t="e">
        <f>AND(List1!H190,"AAAAAF5+7/0=")</f>
        <v>#VALUE!</v>
      </c>
      <c r="IU7" t="e">
        <f>AND(List1!I190,"AAAAAF5+7/4=")</f>
        <v>#VALUE!</v>
      </c>
      <c r="IV7">
        <f>IF(List1!189:189,"AAAAAF5+7/8=",0)</f>
        <v>0</v>
      </c>
    </row>
    <row r="8" spans="1:256" ht="12.75">
      <c r="A8" t="e">
        <f>AND(List1!A191,"AAAAAHL/9wA=")</f>
        <v>#VALUE!</v>
      </c>
      <c r="B8" t="e">
        <f>AND(List1!B191,"AAAAAHL/9wE=")</f>
        <v>#VALUE!</v>
      </c>
      <c r="C8" t="e">
        <f>AND(List1!C191,"AAAAAHL/9wI=")</f>
        <v>#VALUE!</v>
      </c>
      <c r="D8" t="e">
        <f>AND(List1!E191,"AAAAAHL/9wM=")</f>
        <v>#VALUE!</v>
      </c>
      <c r="E8" t="e">
        <f>AND(List1!F191,"AAAAAHL/9wQ=")</f>
        <v>#VALUE!</v>
      </c>
      <c r="F8" t="e">
        <f>AND(List1!G191,"AAAAAHL/9wU=")</f>
        <v>#VALUE!</v>
      </c>
      <c r="G8" t="e">
        <f>AND(List1!H191,"AAAAAHL/9wY=")</f>
        <v>#VALUE!</v>
      </c>
      <c r="H8" t="e">
        <f>AND(List1!I191,"AAAAAHL/9wc=")</f>
        <v>#VALUE!</v>
      </c>
      <c r="I8">
        <f>IF(List1!190:190,"AAAAAHL/9wg=",0)</f>
        <v>0</v>
      </c>
      <c r="J8" t="e">
        <f>AND(List1!A192,"AAAAAHL/9wk=")</f>
        <v>#VALUE!</v>
      </c>
      <c r="K8" t="e">
        <f>AND(List1!B192,"AAAAAHL/9wo=")</f>
        <v>#VALUE!</v>
      </c>
      <c r="L8" t="e">
        <f>AND(List1!C192,"AAAAAHL/9ws=")</f>
        <v>#VALUE!</v>
      </c>
      <c r="M8" t="e">
        <f>AND(List1!E192,"AAAAAHL/9ww=")</f>
        <v>#VALUE!</v>
      </c>
      <c r="N8" t="e">
        <f>AND(List1!F192,"AAAAAHL/9w0=")</f>
        <v>#VALUE!</v>
      </c>
      <c r="O8" t="e">
        <f>AND(List1!G192,"AAAAAHL/9w4=")</f>
        <v>#VALUE!</v>
      </c>
      <c r="P8" t="e">
        <f>AND(List1!H192,"AAAAAHL/9w8=")</f>
        <v>#VALUE!</v>
      </c>
      <c r="Q8" t="e">
        <f>AND(List1!I192,"AAAAAHL/9xA=")</f>
        <v>#VALUE!</v>
      </c>
      <c r="R8">
        <f>IF(List1!191:191,"AAAAAHL/9xE=",0)</f>
        <v>0</v>
      </c>
      <c r="S8" t="e">
        <f>AND(List1!A193,"AAAAAHL/9xI=")</f>
        <v>#VALUE!</v>
      </c>
      <c r="T8" t="e">
        <f>AND(List1!B193,"AAAAAHL/9xM=")</f>
        <v>#VALUE!</v>
      </c>
      <c r="U8" t="e">
        <f>AND(List1!C193,"AAAAAHL/9xQ=")</f>
        <v>#VALUE!</v>
      </c>
      <c r="V8" t="e">
        <f>AND(List1!E193,"AAAAAHL/9xU=")</f>
        <v>#VALUE!</v>
      </c>
      <c r="W8" t="e">
        <f>AND(List1!F193,"AAAAAHL/9xY=")</f>
        <v>#VALUE!</v>
      </c>
      <c r="X8" t="e">
        <f>AND(List1!G193,"AAAAAHL/9xc=")</f>
        <v>#VALUE!</v>
      </c>
      <c r="Y8" t="e">
        <f>AND(List1!H193,"AAAAAHL/9xg=")</f>
        <v>#VALUE!</v>
      </c>
      <c r="Z8" t="e">
        <f>AND(List1!I193,"AAAAAHL/9xk=")</f>
        <v>#VALUE!</v>
      </c>
      <c r="AA8">
        <f>IF(List1!192:192,"AAAAAHL/9xo=",0)</f>
        <v>0</v>
      </c>
      <c r="AB8" t="e">
        <f>AND(List1!A194,"AAAAAHL/9xs=")</f>
        <v>#VALUE!</v>
      </c>
      <c r="AC8" t="e">
        <f>AND(List1!B194,"AAAAAHL/9xw=")</f>
        <v>#VALUE!</v>
      </c>
      <c r="AD8" t="e">
        <f>AND(List1!C194,"AAAAAHL/9x0=")</f>
        <v>#VALUE!</v>
      </c>
      <c r="AE8" t="e">
        <f>AND(List1!E194,"AAAAAHL/9x4=")</f>
        <v>#VALUE!</v>
      </c>
      <c r="AF8" t="e">
        <f>AND(List1!F194,"AAAAAHL/9x8=")</f>
        <v>#VALUE!</v>
      </c>
      <c r="AG8" t="e">
        <f>AND(List1!G194,"AAAAAHL/9yA=")</f>
        <v>#VALUE!</v>
      </c>
      <c r="AH8" t="e">
        <f>AND(List1!H194,"AAAAAHL/9yE=")</f>
        <v>#VALUE!</v>
      </c>
      <c r="AI8" t="e">
        <f>AND(List1!I194,"AAAAAHL/9yI=")</f>
        <v>#VALUE!</v>
      </c>
      <c r="AJ8">
        <f>IF(List1!193:193,"AAAAAHL/9yM=",0)</f>
        <v>0</v>
      </c>
      <c r="AK8" t="e">
        <f>AND(List1!A195,"AAAAAHL/9yQ=")</f>
        <v>#VALUE!</v>
      </c>
      <c r="AL8" t="e">
        <f>AND(List1!B195,"AAAAAHL/9yU=")</f>
        <v>#VALUE!</v>
      </c>
      <c r="AM8" t="e">
        <f>AND(List1!C195,"AAAAAHL/9yY=")</f>
        <v>#VALUE!</v>
      </c>
      <c r="AN8" t="e">
        <f>AND(List1!E195,"AAAAAHL/9yc=")</f>
        <v>#VALUE!</v>
      </c>
      <c r="AO8" t="e">
        <f>AND(List1!F195,"AAAAAHL/9yg=")</f>
        <v>#VALUE!</v>
      </c>
      <c r="AP8" t="e">
        <f>AND(List1!G195,"AAAAAHL/9yk=")</f>
        <v>#VALUE!</v>
      </c>
      <c r="AQ8" t="e">
        <f>AND(List1!H195,"AAAAAHL/9yo=")</f>
        <v>#VALUE!</v>
      </c>
      <c r="AR8" t="e">
        <f>AND(List1!I195,"AAAAAHL/9ys=")</f>
        <v>#VALUE!</v>
      </c>
      <c r="AS8">
        <f>IF(List1!194:194,"AAAAAHL/9yw=",0)</f>
        <v>0</v>
      </c>
      <c r="AT8" t="e">
        <f>AND(List1!A196,"AAAAAHL/9y0=")</f>
        <v>#VALUE!</v>
      </c>
      <c r="AU8" t="e">
        <f>AND(List1!B196,"AAAAAHL/9y4=")</f>
        <v>#VALUE!</v>
      </c>
      <c r="AV8" t="e">
        <f>AND(List1!C196,"AAAAAHL/9y8=")</f>
        <v>#VALUE!</v>
      </c>
      <c r="AW8" t="e">
        <f>AND(List1!E196,"AAAAAHL/9zA=")</f>
        <v>#VALUE!</v>
      </c>
      <c r="AX8" t="e">
        <f>AND(List1!F196,"AAAAAHL/9zE=")</f>
        <v>#VALUE!</v>
      </c>
      <c r="AY8" t="e">
        <f>AND(List1!G196,"AAAAAHL/9zI=")</f>
        <v>#VALUE!</v>
      </c>
      <c r="AZ8" t="e">
        <f>AND(List1!H196,"AAAAAHL/9zM=")</f>
        <v>#VALUE!</v>
      </c>
      <c r="BA8" t="e">
        <f>AND(List1!I196,"AAAAAHL/9zQ=")</f>
        <v>#VALUE!</v>
      </c>
      <c r="BB8">
        <f>IF(List1!195:195,"AAAAAHL/9zU=",0)</f>
        <v>0</v>
      </c>
      <c r="BC8" t="e">
        <f>AND(List1!A197,"AAAAAHL/9zY=")</f>
        <v>#VALUE!</v>
      </c>
      <c r="BD8" t="e">
        <f>AND(List1!B197,"AAAAAHL/9zc=")</f>
        <v>#VALUE!</v>
      </c>
      <c r="BE8" t="e">
        <f>AND(List1!C197,"AAAAAHL/9zg=")</f>
        <v>#VALUE!</v>
      </c>
      <c r="BF8" t="e">
        <f>AND(List1!E197,"AAAAAHL/9zk=")</f>
        <v>#VALUE!</v>
      </c>
      <c r="BG8" t="e">
        <f>AND(List1!F197,"AAAAAHL/9zo=")</f>
        <v>#VALUE!</v>
      </c>
      <c r="BH8" t="e">
        <f>AND(List1!G197,"AAAAAHL/9zs=")</f>
        <v>#VALUE!</v>
      </c>
      <c r="BI8" t="e">
        <f>AND(List1!H197,"AAAAAHL/9zw=")</f>
        <v>#VALUE!</v>
      </c>
      <c r="BJ8" t="e">
        <f>AND(List1!I197,"AAAAAHL/9z0=")</f>
        <v>#VALUE!</v>
      </c>
      <c r="BK8">
        <f>IF(List1!196:196,"AAAAAHL/9z4=",0)</f>
        <v>0</v>
      </c>
      <c r="BL8" t="e">
        <f>AND(List1!A198,"AAAAAHL/9z8=")</f>
        <v>#VALUE!</v>
      </c>
      <c r="BM8" t="e">
        <f>AND(List1!B198,"AAAAAHL/90A=")</f>
        <v>#VALUE!</v>
      </c>
      <c r="BN8" t="e">
        <f>AND(List1!C198,"AAAAAHL/90E=")</f>
        <v>#VALUE!</v>
      </c>
      <c r="BO8" t="e">
        <f>AND(List1!E198,"AAAAAHL/90I=")</f>
        <v>#VALUE!</v>
      </c>
      <c r="BP8" t="e">
        <f>AND(List1!F198,"AAAAAHL/90M=")</f>
        <v>#VALUE!</v>
      </c>
      <c r="BQ8" t="e">
        <f>AND(List1!G198,"AAAAAHL/90Q=")</f>
        <v>#VALUE!</v>
      </c>
      <c r="BR8" t="e">
        <f>AND(List1!H198,"AAAAAHL/90U=")</f>
        <v>#VALUE!</v>
      </c>
      <c r="BS8" t="e">
        <f>AND(List1!I198,"AAAAAHL/90Y=")</f>
        <v>#VALUE!</v>
      </c>
      <c r="BT8">
        <f>IF(List1!197:197,"AAAAAHL/90c=",0)</f>
        <v>0</v>
      </c>
      <c r="BU8" t="e">
        <f>AND(List1!A199,"AAAAAHL/90g=")</f>
        <v>#VALUE!</v>
      </c>
      <c r="BV8" t="e">
        <f>AND(List1!B199,"AAAAAHL/90k=")</f>
        <v>#VALUE!</v>
      </c>
      <c r="BW8" t="e">
        <f>AND(List1!C199,"AAAAAHL/90o=")</f>
        <v>#VALUE!</v>
      </c>
      <c r="BX8" t="e">
        <f>AND(List1!E199,"AAAAAHL/90s=")</f>
        <v>#VALUE!</v>
      </c>
      <c r="BY8" t="e">
        <f>AND(List1!F199,"AAAAAHL/90w=")</f>
        <v>#VALUE!</v>
      </c>
      <c r="BZ8" t="e">
        <f>AND(List1!G199,"AAAAAHL/900=")</f>
        <v>#VALUE!</v>
      </c>
      <c r="CA8" t="e">
        <f>AND(List1!H199,"AAAAAHL/904=")</f>
        <v>#VALUE!</v>
      </c>
      <c r="CB8" t="e">
        <f>AND(List1!I199,"AAAAAHL/908=")</f>
        <v>#VALUE!</v>
      </c>
      <c r="CC8">
        <f>IF(List1!198:198,"AAAAAHL/91A=",0)</f>
        <v>0</v>
      </c>
      <c r="CD8" t="e">
        <f>AND(List1!A200,"AAAAAHL/91E=")</f>
        <v>#VALUE!</v>
      </c>
      <c r="CE8" t="e">
        <f>AND(List1!B200,"AAAAAHL/91I=")</f>
        <v>#VALUE!</v>
      </c>
      <c r="CF8" t="e">
        <f>AND(List1!C200,"AAAAAHL/91M=")</f>
        <v>#VALUE!</v>
      </c>
      <c r="CG8" t="e">
        <f>AND(List1!E200,"AAAAAHL/91Q=")</f>
        <v>#VALUE!</v>
      </c>
      <c r="CH8" t="e">
        <f>AND(List1!F200,"AAAAAHL/91U=")</f>
        <v>#VALUE!</v>
      </c>
      <c r="CI8" t="e">
        <f>AND(List1!G200,"AAAAAHL/91Y=")</f>
        <v>#VALUE!</v>
      </c>
      <c r="CJ8" t="e">
        <f>AND(List1!H200,"AAAAAHL/91c=")</f>
        <v>#VALUE!</v>
      </c>
      <c r="CK8" t="e">
        <f>AND(List1!I200,"AAAAAHL/91g=")</f>
        <v>#VALUE!</v>
      </c>
      <c r="CL8">
        <f>IF(List1!199:199,"AAAAAHL/91k=",0)</f>
        <v>0</v>
      </c>
      <c r="CM8" t="e">
        <f>AND(List1!A201,"AAAAAHL/91o=")</f>
        <v>#VALUE!</v>
      </c>
      <c r="CN8" t="e">
        <f>AND(List1!B201,"AAAAAHL/91s=")</f>
        <v>#VALUE!</v>
      </c>
      <c r="CO8" t="e">
        <f>AND(List1!C201,"AAAAAHL/91w=")</f>
        <v>#VALUE!</v>
      </c>
      <c r="CP8" t="e">
        <f>AND(List1!E201,"AAAAAHL/910=")</f>
        <v>#VALUE!</v>
      </c>
      <c r="CQ8" t="e">
        <f>AND(List1!F201,"AAAAAHL/914=")</f>
        <v>#VALUE!</v>
      </c>
      <c r="CR8" t="e">
        <f>AND(List1!G201,"AAAAAHL/918=")</f>
        <v>#VALUE!</v>
      </c>
      <c r="CS8" t="e">
        <f>AND(List1!H201,"AAAAAHL/92A=")</f>
        <v>#VALUE!</v>
      </c>
      <c r="CT8" t="e">
        <f>AND(List1!I201,"AAAAAHL/92E=")</f>
        <v>#VALUE!</v>
      </c>
      <c r="CU8">
        <f>IF(List1!200:200,"AAAAAHL/92I=",0)</f>
        <v>0</v>
      </c>
      <c r="CV8" t="e">
        <f>AND(List1!A202,"AAAAAHL/92M=")</f>
        <v>#VALUE!</v>
      </c>
      <c r="CW8" t="e">
        <f>AND(List1!B202,"AAAAAHL/92Q=")</f>
        <v>#VALUE!</v>
      </c>
      <c r="CX8" t="e">
        <f>AND(List1!C202,"AAAAAHL/92U=")</f>
        <v>#VALUE!</v>
      </c>
      <c r="CY8" t="e">
        <f>AND(List1!E202,"AAAAAHL/92Y=")</f>
        <v>#VALUE!</v>
      </c>
      <c r="CZ8" t="e">
        <f>AND(List1!F202,"AAAAAHL/92c=")</f>
        <v>#VALUE!</v>
      </c>
      <c r="DA8" t="e">
        <f>AND(List1!G202,"AAAAAHL/92g=")</f>
        <v>#VALUE!</v>
      </c>
      <c r="DB8" t="e">
        <f>AND(List1!H202,"AAAAAHL/92k=")</f>
        <v>#VALUE!</v>
      </c>
      <c r="DC8" t="e">
        <f>AND(List1!I202,"AAAAAHL/92o=")</f>
        <v>#VALUE!</v>
      </c>
      <c r="DD8">
        <f>IF(List1!201:201,"AAAAAHL/92s=",0)</f>
        <v>0</v>
      </c>
      <c r="DE8" t="e">
        <f>AND(List1!A203,"AAAAAHL/92w=")</f>
        <v>#VALUE!</v>
      </c>
      <c r="DF8" t="e">
        <f>AND(List1!B203,"AAAAAHL/920=")</f>
        <v>#VALUE!</v>
      </c>
      <c r="DG8" t="e">
        <f>AND(List1!C203,"AAAAAHL/924=")</f>
        <v>#VALUE!</v>
      </c>
      <c r="DH8" t="e">
        <f>AND(List1!E203,"AAAAAHL/928=")</f>
        <v>#VALUE!</v>
      </c>
      <c r="DI8" t="e">
        <f>AND(List1!F203,"AAAAAHL/93A=")</f>
        <v>#VALUE!</v>
      </c>
      <c r="DJ8" t="e">
        <f>AND(List1!G203,"AAAAAHL/93E=")</f>
        <v>#VALUE!</v>
      </c>
      <c r="DK8" t="e">
        <f>AND(List1!H203,"AAAAAHL/93I=")</f>
        <v>#VALUE!</v>
      </c>
      <c r="DL8" t="e">
        <f>AND(List1!I203,"AAAAAHL/93M=")</f>
        <v>#VALUE!</v>
      </c>
      <c r="DM8">
        <f>IF(List1!202:202,"AAAAAHL/93Q=",0)</f>
        <v>0</v>
      </c>
      <c r="DN8" t="e">
        <f>AND(List1!A204,"AAAAAHL/93U=")</f>
        <v>#VALUE!</v>
      </c>
      <c r="DO8" t="e">
        <f>AND(List1!B204,"AAAAAHL/93Y=")</f>
        <v>#VALUE!</v>
      </c>
      <c r="DP8" t="e">
        <f>AND(List1!C204,"AAAAAHL/93c=")</f>
        <v>#VALUE!</v>
      </c>
      <c r="DQ8" t="e">
        <f>AND(List1!E204,"AAAAAHL/93g=")</f>
        <v>#VALUE!</v>
      </c>
      <c r="DR8" t="e">
        <f>AND(List1!F204,"AAAAAHL/93k=")</f>
        <v>#VALUE!</v>
      </c>
      <c r="DS8" t="e">
        <f>AND(List1!G204,"AAAAAHL/93o=")</f>
        <v>#VALUE!</v>
      </c>
      <c r="DT8" t="e">
        <f>AND(List1!H204,"AAAAAHL/93s=")</f>
        <v>#VALUE!</v>
      </c>
      <c r="DU8" t="e">
        <f>AND(List1!I204,"AAAAAHL/93w=")</f>
        <v>#VALUE!</v>
      </c>
      <c r="DV8">
        <f>IF(List1!203:203,"AAAAAHL/930=",0)</f>
        <v>0</v>
      </c>
      <c r="DW8" t="e">
        <f>AND(List1!A205,"AAAAAHL/934=")</f>
        <v>#VALUE!</v>
      </c>
      <c r="DX8" t="e">
        <f>AND(List1!B205,"AAAAAHL/938=")</f>
        <v>#VALUE!</v>
      </c>
      <c r="DY8" t="e">
        <f>AND(List1!C205,"AAAAAHL/94A=")</f>
        <v>#VALUE!</v>
      </c>
      <c r="DZ8" t="e">
        <f>AND(List1!E205,"AAAAAHL/94E=")</f>
        <v>#VALUE!</v>
      </c>
      <c r="EA8" t="e">
        <f>AND(List1!F205,"AAAAAHL/94I=")</f>
        <v>#VALUE!</v>
      </c>
      <c r="EB8" t="e">
        <f>AND(List1!G205,"AAAAAHL/94M=")</f>
        <v>#VALUE!</v>
      </c>
      <c r="EC8" t="e">
        <f>AND(List1!H205,"AAAAAHL/94Q=")</f>
        <v>#VALUE!</v>
      </c>
      <c r="ED8" t="e">
        <f>AND(List1!I205,"AAAAAHL/94U=")</f>
        <v>#VALUE!</v>
      </c>
      <c r="EE8">
        <f>IF(List1!204:204,"AAAAAHL/94Y=",0)</f>
        <v>0</v>
      </c>
      <c r="EF8" t="e">
        <f>AND(List1!A206,"AAAAAHL/94c=")</f>
        <v>#VALUE!</v>
      </c>
      <c r="EG8" t="e">
        <f>AND(List1!B206,"AAAAAHL/94g=")</f>
        <v>#VALUE!</v>
      </c>
      <c r="EH8" t="e">
        <f>AND(List1!C206,"AAAAAHL/94k=")</f>
        <v>#VALUE!</v>
      </c>
      <c r="EI8" t="e">
        <f>AND(List1!E206,"AAAAAHL/94o=")</f>
        <v>#VALUE!</v>
      </c>
      <c r="EJ8" t="e">
        <f>AND(List1!F206,"AAAAAHL/94s=")</f>
        <v>#VALUE!</v>
      </c>
      <c r="EK8" t="e">
        <f>AND(List1!G206,"AAAAAHL/94w=")</f>
        <v>#VALUE!</v>
      </c>
      <c r="EL8" t="e">
        <f>AND(List1!H206,"AAAAAHL/940=")</f>
        <v>#VALUE!</v>
      </c>
      <c r="EM8" t="e">
        <f>AND(List1!I206,"AAAAAHL/944=")</f>
        <v>#VALUE!</v>
      </c>
      <c r="EN8">
        <f>IF(List1!205:205,"AAAAAHL/948=",0)</f>
        <v>0</v>
      </c>
      <c r="EO8" t="e">
        <f>AND(List1!A207,"AAAAAHL/95A=")</f>
        <v>#VALUE!</v>
      </c>
      <c r="EP8" t="e">
        <f>AND(List1!B207,"AAAAAHL/95E=")</f>
        <v>#VALUE!</v>
      </c>
      <c r="EQ8" t="e">
        <f>AND(List1!C207,"AAAAAHL/95I=")</f>
        <v>#VALUE!</v>
      </c>
      <c r="ER8" t="e">
        <f>AND(List1!E207,"AAAAAHL/95M=")</f>
        <v>#VALUE!</v>
      </c>
      <c r="ES8" t="e">
        <f>AND(List1!F207,"AAAAAHL/95Q=")</f>
        <v>#VALUE!</v>
      </c>
      <c r="ET8" t="e">
        <f>AND(List1!G207,"AAAAAHL/95U=")</f>
        <v>#VALUE!</v>
      </c>
      <c r="EU8" t="e">
        <f>AND(List1!H207,"AAAAAHL/95Y=")</f>
        <v>#VALUE!</v>
      </c>
      <c r="EV8" t="e">
        <f>AND(List1!I207,"AAAAAHL/95c=")</f>
        <v>#VALUE!</v>
      </c>
      <c r="EW8">
        <f>IF(List1!206:206,"AAAAAHL/95g=",0)</f>
        <v>0</v>
      </c>
      <c r="EX8" t="e">
        <f>AND(List1!A208,"AAAAAHL/95k=")</f>
        <v>#VALUE!</v>
      </c>
      <c r="EY8" t="e">
        <f>AND(List1!B208,"AAAAAHL/95o=")</f>
        <v>#VALUE!</v>
      </c>
      <c r="EZ8" t="e">
        <f>AND(List1!C208,"AAAAAHL/95s=")</f>
        <v>#VALUE!</v>
      </c>
      <c r="FA8" t="e">
        <f>AND(List1!E208,"AAAAAHL/95w=")</f>
        <v>#VALUE!</v>
      </c>
      <c r="FB8" t="e">
        <f>AND(List1!F208,"AAAAAHL/950=")</f>
        <v>#VALUE!</v>
      </c>
      <c r="FC8" t="e">
        <f>AND(List1!G208,"AAAAAHL/954=")</f>
        <v>#VALUE!</v>
      </c>
      <c r="FD8" t="e">
        <f>AND(List1!H208,"AAAAAHL/958=")</f>
        <v>#VALUE!</v>
      </c>
      <c r="FE8" t="e">
        <f>AND(List1!I208,"AAAAAHL/96A=")</f>
        <v>#VALUE!</v>
      </c>
      <c r="FF8">
        <f>IF(List1!207:207,"AAAAAHL/96E=",0)</f>
        <v>0</v>
      </c>
      <c r="FG8" t="e">
        <f>AND(List1!A209,"AAAAAHL/96I=")</f>
        <v>#VALUE!</v>
      </c>
      <c r="FH8" t="e">
        <f>AND(List1!B209,"AAAAAHL/96M=")</f>
        <v>#VALUE!</v>
      </c>
      <c r="FI8" t="e">
        <f>AND(List1!C209,"AAAAAHL/96Q=")</f>
        <v>#VALUE!</v>
      </c>
      <c r="FJ8" t="e">
        <f>AND(List1!E209,"AAAAAHL/96U=")</f>
        <v>#VALUE!</v>
      </c>
      <c r="FK8" t="e">
        <f>AND(List1!F209,"AAAAAHL/96Y=")</f>
        <v>#VALUE!</v>
      </c>
      <c r="FL8" t="e">
        <f>AND(List1!G209,"AAAAAHL/96c=")</f>
        <v>#VALUE!</v>
      </c>
      <c r="FM8" t="e">
        <f>AND(List1!H209,"AAAAAHL/96g=")</f>
        <v>#VALUE!</v>
      </c>
      <c r="FN8" t="e">
        <f>AND(List1!I209,"AAAAAHL/96k=")</f>
        <v>#VALUE!</v>
      </c>
      <c r="FO8">
        <f>IF(List1!208:208,"AAAAAHL/96o=",0)</f>
        <v>0</v>
      </c>
      <c r="FP8" t="e">
        <f>AND(List1!A210,"AAAAAHL/96s=")</f>
        <v>#VALUE!</v>
      </c>
      <c r="FQ8" t="e">
        <f>AND(List1!B210,"AAAAAHL/96w=")</f>
        <v>#VALUE!</v>
      </c>
      <c r="FR8" t="e">
        <f>AND(List1!C210,"AAAAAHL/960=")</f>
        <v>#VALUE!</v>
      </c>
      <c r="FS8" t="e">
        <f>AND(List1!E210,"AAAAAHL/964=")</f>
        <v>#VALUE!</v>
      </c>
      <c r="FT8" t="e">
        <f>AND(List1!F210,"AAAAAHL/968=")</f>
        <v>#VALUE!</v>
      </c>
      <c r="FU8" t="e">
        <f>AND(List1!G210,"AAAAAHL/97A=")</f>
        <v>#VALUE!</v>
      </c>
      <c r="FV8" t="e">
        <f>AND(List1!H210,"AAAAAHL/97E=")</f>
        <v>#VALUE!</v>
      </c>
      <c r="FW8" t="e">
        <f>AND(List1!I210,"AAAAAHL/97I=")</f>
        <v>#VALUE!</v>
      </c>
      <c r="FX8">
        <f>IF(List1!209:209,"AAAAAHL/97M=",0)</f>
        <v>0</v>
      </c>
      <c r="FY8" t="e">
        <f>AND(List1!A211,"AAAAAHL/97Q=")</f>
        <v>#VALUE!</v>
      </c>
      <c r="FZ8" t="e">
        <f>AND(List1!B211,"AAAAAHL/97U=")</f>
        <v>#VALUE!</v>
      </c>
      <c r="GA8" t="e">
        <f>AND(List1!C211,"AAAAAHL/97Y=")</f>
        <v>#VALUE!</v>
      </c>
      <c r="GB8" t="e">
        <f>AND(List1!E211,"AAAAAHL/97c=")</f>
        <v>#VALUE!</v>
      </c>
      <c r="GC8" t="e">
        <f>AND(List1!F211,"AAAAAHL/97g=")</f>
        <v>#VALUE!</v>
      </c>
      <c r="GD8" t="e">
        <f>AND(List1!G211,"AAAAAHL/97k=")</f>
        <v>#VALUE!</v>
      </c>
      <c r="GE8" t="e">
        <f>AND(List1!H211,"AAAAAHL/97o=")</f>
        <v>#VALUE!</v>
      </c>
      <c r="GF8" t="e">
        <f>AND(List1!I211,"AAAAAHL/97s=")</f>
        <v>#VALUE!</v>
      </c>
      <c r="GG8">
        <f>IF(List1!210:210,"AAAAAHL/97w=",0)</f>
        <v>0</v>
      </c>
      <c r="GH8" t="e">
        <f>AND(List1!A212,"AAAAAHL/970=")</f>
        <v>#VALUE!</v>
      </c>
      <c r="GI8" t="e">
        <f>AND(List1!B212,"AAAAAHL/974=")</f>
        <v>#VALUE!</v>
      </c>
      <c r="GJ8" t="e">
        <f>AND(List1!C212,"AAAAAHL/978=")</f>
        <v>#VALUE!</v>
      </c>
      <c r="GK8" t="e">
        <f>AND(List1!E212,"AAAAAHL/98A=")</f>
        <v>#VALUE!</v>
      </c>
      <c r="GL8" t="e">
        <f>AND(List1!F212,"AAAAAHL/98E=")</f>
        <v>#VALUE!</v>
      </c>
      <c r="GM8" t="e">
        <f>AND(List1!G212,"AAAAAHL/98I=")</f>
        <v>#VALUE!</v>
      </c>
      <c r="GN8" t="e">
        <f>AND(List1!H212,"AAAAAHL/98M=")</f>
        <v>#VALUE!</v>
      </c>
      <c r="GO8" t="e">
        <f>AND(List1!I212,"AAAAAHL/98Q=")</f>
        <v>#VALUE!</v>
      </c>
      <c r="GP8">
        <f>IF(List1!211:211,"AAAAAHL/98U=",0)</f>
        <v>0</v>
      </c>
      <c r="GQ8" t="e">
        <f>AND(List1!A213,"AAAAAHL/98Y=")</f>
        <v>#VALUE!</v>
      </c>
      <c r="GR8" t="e">
        <f>AND(List1!B213,"AAAAAHL/98c=")</f>
        <v>#VALUE!</v>
      </c>
      <c r="GS8" t="e">
        <f>AND(List1!C213,"AAAAAHL/98g=")</f>
        <v>#VALUE!</v>
      </c>
      <c r="GT8" t="e">
        <f>AND(List1!E213,"AAAAAHL/98k=")</f>
        <v>#VALUE!</v>
      </c>
      <c r="GU8" t="e">
        <f>AND(List1!F213,"AAAAAHL/98o=")</f>
        <v>#VALUE!</v>
      </c>
      <c r="GV8" t="e">
        <f>AND(List1!G213,"AAAAAHL/98s=")</f>
        <v>#VALUE!</v>
      </c>
      <c r="GW8" t="e">
        <f>AND(List1!H213,"AAAAAHL/98w=")</f>
        <v>#VALUE!</v>
      </c>
      <c r="GX8" t="e">
        <f>AND(List1!I213,"AAAAAHL/980=")</f>
        <v>#VALUE!</v>
      </c>
      <c r="GY8">
        <f>IF(List1!212:212,"AAAAAHL/984=",0)</f>
        <v>0</v>
      </c>
      <c r="GZ8" t="e">
        <f>AND(List1!A214,"AAAAAHL/988=")</f>
        <v>#VALUE!</v>
      </c>
      <c r="HA8" t="e">
        <f>AND(List1!B214,"AAAAAHL/99A=")</f>
        <v>#VALUE!</v>
      </c>
      <c r="HB8" t="e">
        <f>AND(List1!C214,"AAAAAHL/99E=")</f>
        <v>#VALUE!</v>
      </c>
      <c r="HC8" t="e">
        <f>AND(List1!E214,"AAAAAHL/99I=")</f>
        <v>#VALUE!</v>
      </c>
      <c r="HD8" t="e">
        <f>AND(List1!F214,"AAAAAHL/99M=")</f>
        <v>#VALUE!</v>
      </c>
      <c r="HE8" t="e">
        <f>AND(List1!G214,"AAAAAHL/99Q=")</f>
        <v>#VALUE!</v>
      </c>
      <c r="HF8" t="e">
        <f>AND(List1!H214,"AAAAAHL/99U=")</f>
        <v>#VALUE!</v>
      </c>
      <c r="HG8" t="e">
        <f>AND(List1!I214,"AAAAAHL/99Y=")</f>
        <v>#VALUE!</v>
      </c>
      <c r="HH8">
        <f>IF(List1!213:213,"AAAAAHL/99c=",0)</f>
        <v>0</v>
      </c>
      <c r="HI8" t="e">
        <f>AND(List1!A215,"AAAAAHL/99g=")</f>
        <v>#VALUE!</v>
      </c>
      <c r="HJ8" t="e">
        <f>AND(List1!B215,"AAAAAHL/99k=")</f>
        <v>#VALUE!</v>
      </c>
      <c r="HK8" t="e">
        <f>AND(List1!C215,"AAAAAHL/99o=")</f>
        <v>#VALUE!</v>
      </c>
      <c r="HL8" t="e">
        <f>AND(List1!E215,"AAAAAHL/99s=")</f>
        <v>#VALUE!</v>
      </c>
      <c r="HM8" t="e">
        <f>AND(List1!F215,"AAAAAHL/99w=")</f>
        <v>#VALUE!</v>
      </c>
      <c r="HN8" t="e">
        <f>AND(List1!G215,"AAAAAHL/990=")</f>
        <v>#VALUE!</v>
      </c>
      <c r="HO8" t="e">
        <f>AND(List1!H215,"AAAAAHL/994=")</f>
        <v>#VALUE!</v>
      </c>
      <c r="HP8" t="e">
        <f>AND(List1!I215,"AAAAAHL/998=")</f>
        <v>#VALUE!</v>
      </c>
      <c r="HQ8">
        <f>IF(List1!214:214,"AAAAAHL/9+A=",0)</f>
        <v>0</v>
      </c>
      <c r="HR8" t="e">
        <f>AND(List1!A216,"AAAAAHL/9+E=")</f>
        <v>#VALUE!</v>
      </c>
      <c r="HS8" t="e">
        <f>AND(List1!B216,"AAAAAHL/9+I=")</f>
        <v>#VALUE!</v>
      </c>
      <c r="HT8" t="e">
        <f>AND(List1!C216,"AAAAAHL/9+M=")</f>
        <v>#VALUE!</v>
      </c>
      <c r="HU8" t="e">
        <f>AND(List1!E216,"AAAAAHL/9+Q=")</f>
        <v>#VALUE!</v>
      </c>
      <c r="HV8" t="e">
        <f>AND(List1!F216,"AAAAAHL/9+U=")</f>
        <v>#VALUE!</v>
      </c>
      <c r="HW8" t="e">
        <f>AND(List1!G216,"AAAAAHL/9+Y=")</f>
        <v>#VALUE!</v>
      </c>
      <c r="HX8" t="e">
        <f>AND(List1!H216,"AAAAAHL/9+c=")</f>
        <v>#VALUE!</v>
      </c>
      <c r="HY8" t="e">
        <f>AND(List1!I216,"AAAAAHL/9+g=")</f>
        <v>#VALUE!</v>
      </c>
      <c r="HZ8">
        <f>IF(List1!215:215,"AAAAAHL/9+k=",0)</f>
        <v>0</v>
      </c>
      <c r="IA8" t="e">
        <f>AND(List1!A217,"AAAAAHL/9+o=")</f>
        <v>#VALUE!</v>
      </c>
      <c r="IB8" t="e">
        <f>AND(List1!B217,"AAAAAHL/9+s=")</f>
        <v>#VALUE!</v>
      </c>
      <c r="IC8" t="e">
        <f>AND(List1!C217,"AAAAAHL/9+w=")</f>
        <v>#VALUE!</v>
      </c>
      <c r="ID8" t="e">
        <f>AND(List1!E217,"AAAAAHL/9+0=")</f>
        <v>#VALUE!</v>
      </c>
      <c r="IE8" t="e">
        <f>AND(List1!F217,"AAAAAHL/9+4=")</f>
        <v>#VALUE!</v>
      </c>
      <c r="IF8" t="e">
        <f>AND(List1!G217,"AAAAAHL/9+8=")</f>
        <v>#VALUE!</v>
      </c>
      <c r="IG8" t="e">
        <f>AND(List1!H217,"AAAAAHL/9/A=")</f>
        <v>#VALUE!</v>
      </c>
      <c r="IH8" t="e">
        <f>AND(List1!I217,"AAAAAHL/9/E=")</f>
        <v>#VALUE!</v>
      </c>
      <c r="II8">
        <f>IF(List1!216:216,"AAAAAHL/9/I=",0)</f>
        <v>0</v>
      </c>
      <c r="IJ8" t="e">
        <f>AND(List1!A218,"AAAAAHL/9/M=")</f>
        <v>#VALUE!</v>
      </c>
      <c r="IK8" t="e">
        <f>AND(List1!B218,"AAAAAHL/9/Q=")</f>
        <v>#VALUE!</v>
      </c>
      <c r="IL8" t="e">
        <f>AND(List1!C218,"AAAAAHL/9/U=")</f>
        <v>#VALUE!</v>
      </c>
      <c r="IM8" t="e">
        <f>AND(List1!E218,"AAAAAHL/9/Y=")</f>
        <v>#VALUE!</v>
      </c>
      <c r="IN8" t="e">
        <f>AND(List1!F218,"AAAAAHL/9/c=")</f>
        <v>#VALUE!</v>
      </c>
      <c r="IO8" t="e">
        <f>AND(List1!G218,"AAAAAHL/9/g=")</f>
        <v>#VALUE!</v>
      </c>
      <c r="IP8" t="e">
        <f>AND(List1!H218,"AAAAAHL/9/k=")</f>
        <v>#VALUE!</v>
      </c>
      <c r="IQ8" t="e">
        <f>AND(List1!I218,"AAAAAHL/9/o=")</f>
        <v>#VALUE!</v>
      </c>
      <c r="IR8">
        <f>IF(List1!217:217,"AAAAAHL/9/s=",0)</f>
        <v>0</v>
      </c>
      <c r="IS8" t="e">
        <f>AND(List1!A219,"AAAAAHL/9/w=")</f>
        <v>#VALUE!</v>
      </c>
      <c r="IT8" t="e">
        <f>AND(List1!B219,"AAAAAHL/9/0=")</f>
        <v>#VALUE!</v>
      </c>
      <c r="IU8" t="e">
        <f>AND(List1!C219,"AAAAAHL/9/4=")</f>
        <v>#VALUE!</v>
      </c>
      <c r="IV8" t="e">
        <f>AND(List1!E219,"AAAAAHL/9/8=")</f>
        <v>#VALUE!</v>
      </c>
    </row>
    <row r="9" spans="1:256" ht="12.75">
      <c r="A9" t="e">
        <f>AND(List1!F219,"AAAAAH//egA=")</f>
        <v>#VALUE!</v>
      </c>
      <c r="B9" t="e">
        <f>AND(List1!G219,"AAAAAH//egE=")</f>
        <v>#VALUE!</v>
      </c>
      <c r="C9" t="e">
        <f>AND(List1!H219,"AAAAAH//egI=")</f>
        <v>#VALUE!</v>
      </c>
      <c r="D9" t="e">
        <f>AND(List1!I219,"AAAAAH//egM=")</f>
        <v>#VALUE!</v>
      </c>
      <c r="E9">
        <f>IF(List1!218:218,"AAAAAH//egQ=",0)</f>
        <v>0</v>
      </c>
      <c r="F9" t="e">
        <f>AND(List1!A220,"AAAAAH//egU=")</f>
        <v>#VALUE!</v>
      </c>
      <c r="G9" t="e">
        <f>AND(List1!B220,"AAAAAH//egY=")</f>
        <v>#VALUE!</v>
      </c>
      <c r="H9" t="e">
        <f>AND(List1!C220,"AAAAAH//egc=")</f>
        <v>#VALUE!</v>
      </c>
      <c r="I9" t="e">
        <f>AND(List1!E220,"AAAAAH//egg=")</f>
        <v>#VALUE!</v>
      </c>
      <c r="J9" t="e">
        <f>AND(List1!F220,"AAAAAH//egk=")</f>
        <v>#VALUE!</v>
      </c>
      <c r="K9" t="e">
        <f>AND(List1!G220,"AAAAAH//ego=")</f>
        <v>#VALUE!</v>
      </c>
      <c r="L9" t="e">
        <f>AND(List1!H220,"AAAAAH//egs=")</f>
        <v>#VALUE!</v>
      </c>
      <c r="M9" t="e">
        <f>AND(List1!I220,"AAAAAH//egw=")</f>
        <v>#VALUE!</v>
      </c>
      <c r="N9">
        <f>IF(List1!219:219,"AAAAAH//eg0=",0)</f>
        <v>0</v>
      </c>
      <c r="O9" t="e">
        <f>AND(List1!A221,"AAAAAH//eg4=")</f>
        <v>#VALUE!</v>
      </c>
      <c r="P9" t="e">
        <f>AND(List1!B221,"AAAAAH//eg8=")</f>
        <v>#VALUE!</v>
      </c>
      <c r="Q9" t="e">
        <f>AND(List1!C221,"AAAAAH//ehA=")</f>
        <v>#VALUE!</v>
      </c>
      <c r="R9" t="e">
        <f>AND(List1!E221,"AAAAAH//ehE=")</f>
        <v>#VALUE!</v>
      </c>
      <c r="S9" t="e">
        <f>AND(List1!F221,"AAAAAH//ehI=")</f>
        <v>#VALUE!</v>
      </c>
      <c r="T9" t="e">
        <f>AND(List1!G221,"AAAAAH//ehM=")</f>
        <v>#VALUE!</v>
      </c>
      <c r="U9" t="e">
        <f>AND(List1!H221,"AAAAAH//ehQ=")</f>
        <v>#VALUE!</v>
      </c>
      <c r="V9" t="e">
        <f>AND(List1!I221,"AAAAAH//ehU=")</f>
        <v>#VALUE!</v>
      </c>
      <c r="W9">
        <f>IF(List1!220:220,"AAAAAH//ehY=",0)</f>
        <v>0</v>
      </c>
      <c r="X9" t="e">
        <f>AND(List1!A222,"AAAAAH//ehc=")</f>
        <v>#VALUE!</v>
      </c>
      <c r="Y9" t="e">
        <f>AND(List1!B222,"AAAAAH//ehg=")</f>
        <v>#VALUE!</v>
      </c>
      <c r="Z9" t="e">
        <f>AND(List1!C222,"AAAAAH//ehk=")</f>
        <v>#VALUE!</v>
      </c>
      <c r="AA9" t="e">
        <f>AND(List1!E222,"AAAAAH//eho=")</f>
        <v>#VALUE!</v>
      </c>
      <c r="AB9" t="e">
        <f>AND(List1!F222,"AAAAAH//ehs=")</f>
        <v>#VALUE!</v>
      </c>
      <c r="AC9" t="e">
        <f>AND(List1!G222,"AAAAAH//ehw=")</f>
        <v>#VALUE!</v>
      </c>
      <c r="AD9" t="e">
        <f>AND(List1!H222,"AAAAAH//eh0=")</f>
        <v>#VALUE!</v>
      </c>
      <c r="AE9" t="e">
        <f>AND(List1!I222,"AAAAAH//eh4=")</f>
        <v>#VALUE!</v>
      </c>
      <c r="AF9">
        <f>IF(List1!221:221,"AAAAAH//eh8=",0)</f>
        <v>0</v>
      </c>
      <c r="AG9" t="e">
        <f>AND(List1!A223,"AAAAAH//eiA=")</f>
        <v>#VALUE!</v>
      </c>
      <c r="AH9" t="e">
        <f>AND(List1!B223,"AAAAAH//eiE=")</f>
        <v>#VALUE!</v>
      </c>
      <c r="AI9" t="e">
        <f>AND(List1!C223,"AAAAAH//eiI=")</f>
        <v>#VALUE!</v>
      </c>
      <c r="AJ9" t="e">
        <f>AND(List1!E223,"AAAAAH//eiM=")</f>
        <v>#VALUE!</v>
      </c>
      <c r="AK9" t="e">
        <f>AND(List1!F223,"AAAAAH//eiQ=")</f>
        <v>#VALUE!</v>
      </c>
      <c r="AL9" t="e">
        <f>AND(List1!G223,"AAAAAH//eiU=")</f>
        <v>#VALUE!</v>
      </c>
      <c r="AM9" t="e">
        <f>AND(List1!H223,"AAAAAH//eiY=")</f>
        <v>#VALUE!</v>
      </c>
      <c r="AN9" t="e">
        <f>AND(List1!I223,"AAAAAH//eic=")</f>
        <v>#VALUE!</v>
      </c>
      <c r="AO9">
        <f>IF(List1!222:222,"AAAAAH//eig=",0)</f>
        <v>0</v>
      </c>
      <c r="AP9" t="e">
        <f>AND(List1!A224,"AAAAAH//eik=")</f>
        <v>#VALUE!</v>
      </c>
      <c r="AQ9" t="e">
        <f>AND(List1!B224,"AAAAAH//eio=")</f>
        <v>#VALUE!</v>
      </c>
      <c r="AR9" t="e">
        <f>AND(List1!C224,"AAAAAH//eis=")</f>
        <v>#VALUE!</v>
      </c>
      <c r="AS9" t="e">
        <f>AND(List1!E224,"AAAAAH//eiw=")</f>
        <v>#VALUE!</v>
      </c>
      <c r="AT9" t="e">
        <f>AND(List1!F224,"AAAAAH//ei0=")</f>
        <v>#VALUE!</v>
      </c>
      <c r="AU9" t="e">
        <f>AND(List1!G224,"AAAAAH//ei4=")</f>
        <v>#VALUE!</v>
      </c>
      <c r="AV9" t="e">
        <f>AND(List1!H224,"AAAAAH//ei8=")</f>
        <v>#VALUE!</v>
      </c>
      <c r="AW9" t="e">
        <f>AND(List1!I224,"AAAAAH//ejA=")</f>
        <v>#VALUE!</v>
      </c>
      <c r="AX9">
        <f>IF(List1!223:223,"AAAAAH//ejE=",0)</f>
        <v>0</v>
      </c>
      <c r="AY9" t="e">
        <f>AND(List1!A225,"AAAAAH//ejI=")</f>
        <v>#VALUE!</v>
      </c>
      <c r="AZ9" t="e">
        <f>AND(List1!B225,"AAAAAH//ejM=")</f>
        <v>#VALUE!</v>
      </c>
      <c r="BA9" t="e">
        <f>AND(List1!C225,"AAAAAH//ejQ=")</f>
        <v>#VALUE!</v>
      </c>
      <c r="BB9" t="e">
        <f>AND(List1!E225,"AAAAAH//ejU=")</f>
        <v>#VALUE!</v>
      </c>
      <c r="BC9" t="e">
        <f>AND(List1!F225,"AAAAAH//ejY=")</f>
        <v>#VALUE!</v>
      </c>
      <c r="BD9" t="e">
        <f>AND(List1!G225,"AAAAAH//ejc=")</f>
        <v>#VALUE!</v>
      </c>
      <c r="BE9" t="e">
        <f>AND(List1!H225,"AAAAAH//ejg=")</f>
        <v>#VALUE!</v>
      </c>
      <c r="BF9" t="e">
        <f>AND(List1!I225,"AAAAAH//ejk=")</f>
        <v>#VALUE!</v>
      </c>
      <c r="BG9">
        <f>IF(List1!224:224,"AAAAAH//ejo=",0)</f>
        <v>0</v>
      </c>
      <c r="BH9" t="e">
        <f>AND(List1!A226,"AAAAAH//ejs=")</f>
        <v>#VALUE!</v>
      </c>
      <c r="BI9" t="e">
        <f>AND(List1!B226,"AAAAAH//ejw=")</f>
        <v>#VALUE!</v>
      </c>
      <c r="BJ9" t="e">
        <f>AND(List1!C226,"AAAAAH//ej0=")</f>
        <v>#VALUE!</v>
      </c>
      <c r="BK9" t="e">
        <f>AND(List1!E226,"AAAAAH//ej4=")</f>
        <v>#VALUE!</v>
      </c>
      <c r="BL9" t="e">
        <f>AND(List1!F226,"AAAAAH//ej8=")</f>
        <v>#VALUE!</v>
      </c>
      <c r="BM9" t="e">
        <f>AND(List1!G226,"AAAAAH//ekA=")</f>
        <v>#VALUE!</v>
      </c>
      <c r="BN9" t="e">
        <f>AND(List1!H226,"AAAAAH//ekE=")</f>
        <v>#VALUE!</v>
      </c>
      <c r="BO9" t="e">
        <f>AND(List1!I226,"AAAAAH//ekI=")</f>
        <v>#VALUE!</v>
      </c>
      <c r="BP9">
        <f>IF(List1!225:225,"AAAAAH//ekM=",0)</f>
        <v>0</v>
      </c>
      <c r="BQ9" t="e">
        <f>AND(List1!A227,"AAAAAH//ekQ=")</f>
        <v>#VALUE!</v>
      </c>
      <c r="BR9" t="e">
        <f>AND(List1!B227,"AAAAAH//ekU=")</f>
        <v>#VALUE!</v>
      </c>
      <c r="BS9" t="e">
        <f>AND(List1!C227,"AAAAAH//ekY=")</f>
        <v>#VALUE!</v>
      </c>
      <c r="BT9" t="e">
        <f>AND(List1!E227,"AAAAAH//ekc=")</f>
        <v>#VALUE!</v>
      </c>
      <c r="BU9" t="e">
        <f>AND(List1!F227,"AAAAAH//ekg=")</f>
        <v>#VALUE!</v>
      </c>
      <c r="BV9" t="e">
        <f>AND(List1!G227,"AAAAAH//ekk=")</f>
        <v>#VALUE!</v>
      </c>
      <c r="BW9" t="e">
        <f>AND(List1!H227,"AAAAAH//eko=")</f>
        <v>#VALUE!</v>
      </c>
      <c r="BX9" t="e">
        <f>AND(List1!I227,"AAAAAH//eks=")</f>
        <v>#VALUE!</v>
      </c>
      <c r="BY9">
        <f>IF(List1!226:226,"AAAAAH//ekw=",0)</f>
        <v>0</v>
      </c>
      <c r="BZ9" t="e">
        <f>AND(List1!A228,"AAAAAH//ek0=")</f>
        <v>#VALUE!</v>
      </c>
      <c r="CA9" t="e">
        <f>AND(List1!B228,"AAAAAH//ek4=")</f>
        <v>#VALUE!</v>
      </c>
      <c r="CB9" t="e">
        <f>AND(List1!C228,"AAAAAH//ek8=")</f>
        <v>#VALUE!</v>
      </c>
      <c r="CC9" t="e">
        <f>AND(List1!E228,"AAAAAH//elA=")</f>
        <v>#VALUE!</v>
      </c>
      <c r="CD9" t="e">
        <f>AND(List1!F228,"AAAAAH//elE=")</f>
        <v>#VALUE!</v>
      </c>
      <c r="CE9" t="e">
        <f>AND(List1!G228,"AAAAAH//elI=")</f>
        <v>#VALUE!</v>
      </c>
      <c r="CF9" t="e">
        <f>AND(List1!H228,"AAAAAH//elM=")</f>
        <v>#VALUE!</v>
      </c>
      <c r="CG9" t="e">
        <f>AND(List1!I228,"AAAAAH//elQ=")</f>
        <v>#VALUE!</v>
      </c>
      <c r="CH9">
        <f>IF(List1!227:227,"AAAAAH//elU=",0)</f>
        <v>0</v>
      </c>
      <c r="CI9" t="e">
        <f>AND(List1!A229,"AAAAAH//elY=")</f>
        <v>#VALUE!</v>
      </c>
      <c r="CJ9" t="e">
        <f>AND(List1!B229,"AAAAAH//elc=")</f>
        <v>#VALUE!</v>
      </c>
      <c r="CK9" t="e">
        <f>AND(List1!C229,"AAAAAH//elg=")</f>
        <v>#VALUE!</v>
      </c>
      <c r="CL9" t="e">
        <f>AND(List1!E229,"AAAAAH//elk=")</f>
        <v>#VALUE!</v>
      </c>
      <c r="CM9" t="e">
        <f>AND(List1!F229,"AAAAAH//elo=")</f>
        <v>#VALUE!</v>
      </c>
      <c r="CN9" t="e">
        <f>AND(List1!G229,"AAAAAH//els=")</f>
        <v>#VALUE!</v>
      </c>
      <c r="CO9" t="e">
        <f>AND(List1!H229,"AAAAAH//elw=")</f>
        <v>#VALUE!</v>
      </c>
      <c r="CP9" t="e">
        <f>AND(List1!I229,"AAAAAH//el0=")</f>
        <v>#VALUE!</v>
      </c>
      <c r="CQ9">
        <f>IF(List1!228:228,"AAAAAH//el4=",0)</f>
        <v>0</v>
      </c>
      <c r="CR9" t="e">
        <f>AND(List1!A230,"AAAAAH//el8=")</f>
        <v>#VALUE!</v>
      </c>
      <c r="CS9" t="e">
        <f>AND(List1!B230,"AAAAAH//emA=")</f>
        <v>#VALUE!</v>
      </c>
      <c r="CT9" t="e">
        <f>AND(List1!C230,"AAAAAH//emE=")</f>
        <v>#VALUE!</v>
      </c>
      <c r="CU9" t="e">
        <f>AND(List1!E230,"AAAAAH//emI=")</f>
        <v>#VALUE!</v>
      </c>
      <c r="CV9" t="e">
        <f>AND(List1!F230,"AAAAAH//emM=")</f>
        <v>#VALUE!</v>
      </c>
      <c r="CW9" t="e">
        <f>AND(List1!G230,"AAAAAH//emQ=")</f>
        <v>#VALUE!</v>
      </c>
      <c r="CX9" t="e">
        <f>AND(List1!H230,"AAAAAH//emU=")</f>
        <v>#VALUE!</v>
      </c>
      <c r="CY9" t="e">
        <f>AND(List1!I230,"AAAAAH//emY=")</f>
        <v>#VALUE!</v>
      </c>
      <c r="CZ9">
        <f>IF(List1!229:229,"AAAAAH//emc=",0)</f>
        <v>0</v>
      </c>
      <c r="DA9" t="e">
        <f>AND(List1!A231,"AAAAAH//emg=")</f>
        <v>#VALUE!</v>
      </c>
      <c r="DB9" t="e">
        <f>AND(List1!B231,"AAAAAH//emk=")</f>
        <v>#VALUE!</v>
      </c>
      <c r="DC9" t="e">
        <f>AND(List1!C231,"AAAAAH//emo=")</f>
        <v>#VALUE!</v>
      </c>
      <c r="DD9" t="e">
        <f>AND(List1!E231,"AAAAAH//ems=")</f>
        <v>#VALUE!</v>
      </c>
      <c r="DE9" t="e">
        <f>AND(List1!F231,"AAAAAH//emw=")</f>
        <v>#VALUE!</v>
      </c>
      <c r="DF9" t="e">
        <f>AND(List1!G231,"AAAAAH//em0=")</f>
        <v>#VALUE!</v>
      </c>
      <c r="DG9" t="e">
        <f>AND(List1!H231,"AAAAAH//em4=")</f>
        <v>#VALUE!</v>
      </c>
      <c r="DH9" t="e">
        <f>AND(List1!I231,"AAAAAH//em8=")</f>
        <v>#VALUE!</v>
      </c>
      <c r="DI9">
        <f>IF(List1!230:230,"AAAAAH//enA=",0)</f>
        <v>0</v>
      </c>
      <c r="DJ9" t="e">
        <f>AND(List1!A232,"AAAAAH//enE=")</f>
        <v>#VALUE!</v>
      </c>
      <c r="DK9" t="e">
        <f>AND(List1!B232,"AAAAAH//enI=")</f>
        <v>#VALUE!</v>
      </c>
      <c r="DL9" t="e">
        <f>AND(List1!C232,"AAAAAH//enM=")</f>
        <v>#VALUE!</v>
      </c>
      <c r="DM9" t="e">
        <f>AND(List1!E232,"AAAAAH//enQ=")</f>
        <v>#VALUE!</v>
      </c>
      <c r="DN9" t="e">
        <f>AND(List1!F232,"AAAAAH//enU=")</f>
        <v>#VALUE!</v>
      </c>
      <c r="DO9" t="e">
        <f>AND(List1!G232,"AAAAAH//enY=")</f>
        <v>#VALUE!</v>
      </c>
      <c r="DP9" t="e">
        <f>AND(List1!H232,"AAAAAH//enc=")</f>
        <v>#VALUE!</v>
      </c>
      <c r="DQ9" t="e">
        <f>AND(List1!I232,"AAAAAH//eng=")</f>
        <v>#VALUE!</v>
      </c>
      <c r="DR9">
        <f>IF(List1!231:231,"AAAAAH//enk=",0)</f>
        <v>0</v>
      </c>
      <c r="DS9" t="e">
        <f>AND(List1!A233,"AAAAAH//eno=")</f>
        <v>#VALUE!</v>
      </c>
      <c r="DT9" t="e">
        <f>AND(List1!B233,"AAAAAH//ens=")</f>
        <v>#VALUE!</v>
      </c>
      <c r="DU9" t="e">
        <f>AND(List1!C233,"AAAAAH//enw=")</f>
        <v>#VALUE!</v>
      </c>
      <c r="DV9" t="e">
        <f>AND(List1!E233,"AAAAAH//en0=")</f>
        <v>#VALUE!</v>
      </c>
      <c r="DW9" t="e">
        <f>AND(List1!F233,"AAAAAH//en4=")</f>
        <v>#VALUE!</v>
      </c>
      <c r="DX9" t="e">
        <f>AND(List1!G233,"AAAAAH//en8=")</f>
        <v>#VALUE!</v>
      </c>
      <c r="DY9" t="e">
        <f>AND(List1!H233,"AAAAAH//eoA=")</f>
        <v>#VALUE!</v>
      </c>
      <c r="DZ9" t="e">
        <f>AND(List1!I233,"AAAAAH//eoE=")</f>
        <v>#VALUE!</v>
      </c>
      <c r="EA9">
        <f>IF(List1!232:232,"AAAAAH//eoI=",0)</f>
        <v>0</v>
      </c>
      <c r="EB9" t="e">
        <f>AND(List1!A234,"AAAAAH//eoM=")</f>
        <v>#VALUE!</v>
      </c>
      <c r="EC9" t="e">
        <f>AND(List1!B234,"AAAAAH//eoQ=")</f>
        <v>#VALUE!</v>
      </c>
      <c r="ED9" t="e">
        <f>AND(List1!C234,"AAAAAH//eoU=")</f>
        <v>#VALUE!</v>
      </c>
      <c r="EE9" t="e">
        <f>AND(List1!E234,"AAAAAH//eoY=")</f>
        <v>#VALUE!</v>
      </c>
      <c r="EF9" t="e">
        <f>AND(List1!F234,"AAAAAH//eoc=")</f>
        <v>#VALUE!</v>
      </c>
      <c r="EG9" t="e">
        <f>AND(List1!G234,"AAAAAH//eog=")</f>
        <v>#VALUE!</v>
      </c>
      <c r="EH9" t="e">
        <f>AND(List1!H234,"AAAAAH//eok=")</f>
        <v>#VALUE!</v>
      </c>
      <c r="EI9" t="e">
        <f>AND(List1!I234,"AAAAAH//eoo=")</f>
        <v>#VALUE!</v>
      </c>
      <c r="EJ9">
        <f>IF(List1!233:233,"AAAAAH//eos=",0)</f>
        <v>0</v>
      </c>
      <c r="EK9" t="e">
        <f>AND(List1!A235,"AAAAAH//eow=")</f>
        <v>#VALUE!</v>
      </c>
      <c r="EL9" t="e">
        <f>AND(List1!B235,"AAAAAH//eo0=")</f>
        <v>#VALUE!</v>
      </c>
      <c r="EM9" t="e">
        <f>AND(List1!C235,"AAAAAH//eo4=")</f>
        <v>#VALUE!</v>
      </c>
      <c r="EN9" t="e">
        <f>AND(List1!E235,"AAAAAH//eo8=")</f>
        <v>#VALUE!</v>
      </c>
      <c r="EO9" t="e">
        <f>AND(List1!F235,"AAAAAH//epA=")</f>
        <v>#VALUE!</v>
      </c>
      <c r="EP9" t="e">
        <f>AND(List1!G235,"AAAAAH//epE=")</f>
        <v>#VALUE!</v>
      </c>
      <c r="EQ9" t="e">
        <f>AND(List1!H235,"AAAAAH//epI=")</f>
        <v>#VALUE!</v>
      </c>
      <c r="ER9" t="e">
        <f>AND(List1!I235,"AAAAAH//epM=")</f>
        <v>#VALUE!</v>
      </c>
      <c r="ES9">
        <f>IF(List1!234:234,"AAAAAH//epQ=",0)</f>
        <v>0</v>
      </c>
      <c r="ET9" t="e">
        <f>AND(List1!A236,"AAAAAH//epU=")</f>
        <v>#VALUE!</v>
      </c>
      <c r="EU9" t="e">
        <f>AND(List1!B236,"AAAAAH//epY=")</f>
        <v>#VALUE!</v>
      </c>
      <c r="EV9" t="e">
        <f>AND(List1!C236,"AAAAAH//epc=")</f>
        <v>#VALUE!</v>
      </c>
      <c r="EW9" t="e">
        <f>AND(List1!E236,"AAAAAH//epg=")</f>
        <v>#VALUE!</v>
      </c>
      <c r="EX9" t="e">
        <f>AND(List1!F236,"AAAAAH//epk=")</f>
        <v>#VALUE!</v>
      </c>
      <c r="EY9" t="e">
        <f>AND(List1!G236,"AAAAAH//epo=")</f>
        <v>#VALUE!</v>
      </c>
      <c r="EZ9" t="e">
        <f>AND(List1!H236,"AAAAAH//eps=")</f>
        <v>#VALUE!</v>
      </c>
      <c r="FA9" t="e">
        <f>AND(List1!I236,"AAAAAH//epw=")</f>
        <v>#VALUE!</v>
      </c>
      <c r="FB9">
        <f>IF(List1!235:235,"AAAAAH//ep0=",0)</f>
        <v>0</v>
      </c>
      <c r="FC9" t="e">
        <f>AND(List1!A237,"AAAAAH//ep4=")</f>
        <v>#VALUE!</v>
      </c>
      <c r="FD9" t="e">
        <f>AND(List1!B237,"AAAAAH//ep8=")</f>
        <v>#VALUE!</v>
      </c>
      <c r="FE9" t="e">
        <f>AND(List1!C237,"AAAAAH//eqA=")</f>
        <v>#VALUE!</v>
      </c>
      <c r="FF9" t="e">
        <f>AND(List1!E237,"AAAAAH//eqE=")</f>
        <v>#VALUE!</v>
      </c>
      <c r="FG9" t="e">
        <f>AND(List1!F237,"AAAAAH//eqI=")</f>
        <v>#VALUE!</v>
      </c>
      <c r="FH9" t="e">
        <f>AND(List1!G237,"AAAAAH//eqM=")</f>
        <v>#VALUE!</v>
      </c>
      <c r="FI9" t="e">
        <f>AND(List1!H237,"AAAAAH//eqQ=")</f>
        <v>#VALUE!</v>
      </c>
      <c r="FJ9" t="e">
        <f>AND(List1!I237,"AAAAAH//eqU=")</f>
        <v>#VALUE!</v>
      </c>
      <c r="FK9">
        <f>IF(List1!236:236,"AAAAAH//eqY=",0)</f>
        <v>0</v>
      </c>
      <c r="FL9" t="e">
        <f>AND(List1!A238,"AAAAAH//eqc=")</f>
        <v>#VALUE!</v>
      </c>
      <c r="FM9" t="e">
        <f>AND(List1!B238,"AAAAAH//eqg=")</f>
        <v>#VALUE!</v>
      </c>
      <c r="FN9" t="e">
        <f>AND(List1!C238,"AAAAAH//eqk=")</f>
        <v>#VALUE!</v>
      </c>
      <c r="FO9" t="e">
        <f>AND(List1!E238,"AAAAAH//eqo=")</f>
        <v>#VALUE!</v>
      </c>
      <c r="FP9" t="e">
        <f>AND(List1!F238,"AAAAAH//eqs=")</f>
        <v>#VALUE!</v>
      </c>
      <c r="FQ9" t="e">
        <f>AND(List1!G238,"AAAAAH//eqw=")</f>
        <v>#VALUE!</v>
      </c>
      <c r="FR9" t="e">
        <f>AND(List1!H238,"AAAAAH//eq0=")</f>
        <v>#VALUE!</v>
      </c>
      <c r="FS9" t="e">
        <f>AND(List1!I238,"AAAAAH//eq4=")</f>
        <v>#VALUE!</v>
      </c>
      <c r="FT9">
        <f>IF(List1!237:237,"AAAAAH//eq8=",0)</f>
        <v>0</v>
      </c>
      <c r="FU9" t="e">
        <f>AND(List1!A239,"AAAAAH//erA=")</f>
        <v>#VALUE!</v>
      </c>
      <c r="FV9" t="e">
        <f>AND(List1!B239,"AAAAAH//erE=")</f>
        <v>#VALUE!</v>
      </c>
      <c r="FW9" t="e">
        <f>AND(List1!C239,"AAAAAH//erI=")</f>
        <v>#VALUE!</v>
      </c>
      <c r="FX9" t="e">
        <f>AND(List1!E239,"AAAAAH//erM=")</f>
        <v>#VALUE!</v>
      </c>
      <c r="FY9" t="e">
        <f>AND(List1!F239,"AAAAAH//erQ=")</f>
        <v>#VALUE!</v>
      </c>
      <c r="FZ9" t="e">
        <f>AND(List1!G239,"AAAAAH//erU=")</f>
        <v>#VALUE!</v>
      </c>
      <c r="GA9" t="e">
        <f>AND(List1!H239,"AAAAAH//erY=")</f>
        <v>#VALUE!</v>
      </c>
      <c r="GB9" t="e">
        <f>AND(List1!I239,"AAAAAH//erc=")</f>
        <v>#VALUE!</v>
      </c>
      <c r="GC9">
        <f>IF(List1!238:238,"AAAAAH//erg=",0)</f>
        <v>0</v>
      </c>
      <c r="GD9" t="e">
        <f>AND(List1!A240,"AAAAAH//erk=")</f>
        <v>#VALUE!</v>
      </c>
      <c r="GE9" t="e">
        <f>AND(List1!B240,"AAAAAH//ero=")</f>
        <v>#VALUE!</v>
      </c>
      <c r="GF9" t="e">
        <f>AND(List1!C240,"AAAAAH//ers=")</f>
        <v>#VALUE!</v>
      </c>
      <c r="GG9" t="e">
        <f>AND(List1!E240,"AAAAAH//erw=")</f>
        <v>#VALUE!</v>
      </c>
      <c r="GH9" t="e">
        <f>AND(List1!F240,"AAAAAH//er0=")</f>
        <v>#VALUE!</v>
      </c>
      <c r="GI9" t="e">
        <f>AND(List1!G240,"AAAAAH//er4=")</f>
        <v>#VALUE!</v>
      </c>
      <c r="GJ9" t="e">
        <f>AND(List1!H240,"AAAAAH//er8=")</f>
        <v>#VALUE!</v>
      </c>
      <c r="GK9" t="e">
        <f>AND(List1!I240,"AAAAAH//esA=")</f>
        <v>#VALUE!</v>
      </c>
      <c r="GL9">
        <f>IF(List1!239:239,"AAAAAH//esE=",0)</f>
        <v>0</v>
      </c>
      <c r="GM9" t="e">
        <f>AND(List1!A241,"AAAAAH//esI=")</f>
        <v>#VALUE!</v>
      </c>
      <c r="GN9" t="e">
        <f>AND(List1!B241,"AAAAAH//esM=")</f>
        <v>#VALUE!</v>
      </c>
      <c r="GO9" t="e">
        <f>AND(List1!C241,"AAAAAH//esQ=")</f>
        <v>#VALUE!</v>
      </c>
      <c r="GP9" t="e">
        <f>AND(List1!E241,"AAAAAH//esU=")</f>
        <v>#VALUE!</v>
      </c>
      <c r="GQ9" t="e">
        <f>AND(List1!F241,"AAAAAH//esY=")</f>
        <v>#VALUE!</v>
      </c>
      <c r="GR9" t="e">
        <f>AND(List1!G241,"AAAAAH//esc=")</f>
        <v>#VALUE!</v>
      </c>
      <c r="GS9" t="e">
        <f>AND(List1!H241,"AAAAAH//esg=")</f>
        <v>#VALUE!</v>
      </c>
      <c r="GT9" t="e">
        <f>AND(List1!I241,"AAAAAH//esk=")</f>
        <v>#VALUE!</v>
      </c>
      <c r="GU9">
        <f>IF(List1!240:240,"AAAAAH//eso=",0)</f>
        <v>0</v>
      </c>
      <c r="GV9" t="e">
        <f>AND(List1!A242,"AAAAAH//ess=")</f>
        <v>#VALUE!</v>
      </c>
      <c r="GW9" t="e">
        <f>AND(List1!B242,"AAAAAH//esw=")</f>
        <v>#VALUE!</v>
      </c>
      <c r="GX9" t="e">
        <f>AND(List1!C242,"AAAAAH//es0=")</f>
        <v>#VALUE!</v>
      </c>
      <c r="GY9" t="e">
        <f>AND(List1!E242,"AAAAAH//es4=")</f>
        <v>#VALUE!</v>
      </c>
      <c r="GZ9" t="e">
        <f>AND(List1!F242,"AAAAAH//es8=")</f>
        <v>#VALUE!</v>
      </c>
      <c r="HA9" t="e">
        <f>AND(List1!G242,"AAAAAH//etA=")</f>
        <v>#VALUE!</v>
      </c>
      <c r="HB9" t="e">
        <f>AND(List1!H242,"AAAAAH//etE=")</f>
        <v>#VALUE!</v>
      </c>
      <c r="HC9" t="e">
        <f>AND(List1!I242,"AAAAAH//etI=")</f>
        <v>#VALUE!</v>
      </c>
      <c r="HD9">
        <f>IF(List1!241:241,"AAAAAH//etM=",0)</f>
        <v>0</v>
      </c>
      <c r="HE9" t="e">
        <f>AND(List1!A243,"AAAAAH//etQ=")</f>
        <v>#VALUE!</v>
      </c>
      <c r="HF9" t="e">
        <f>AND(List1!B243,"AAAAAH//etU=")</f>
        <v>#VALUE!</v>
      </c>
      <c r="HG9" t="e">
        <f>AND(List1!C243,"AAAAAH//etY=")</f>
        <v>#VALUE!</v>
      </c>
      <c r="HH9" t="e">
        <f>AND(List1!E243,"AAAAAH//etc=")</f>
        <v>#VALUE!</v>
      </c>
      <c r="HI9" t="e">
        <f>AND(List1!F243,"AAAAAH//etg=")</f>
        <v>#VALUE!</v>
      </c>
      <c r="HJ9" t="e">
        <f>AND(List1!G243,"AAAAAH//etk=")</f>
        <v>#VALUE!</v>
      </c>
      <c r="HK9" t="e">
        <f>AND(List1!H243,"AAAAAH//eto=")</f>
        <v>#VALUE!</v>
      </c>
      <c r="HL9" t="e">
        <f>AND(List1!I243,"AAAAAH//ets=")</f>
        <v>#VALUE!</v>
      </c>
      <c r="HM9">
        <f>IF(List1!242:242,"AAAAAH//etw=",0)</f>
        <v>0</v>
      </c>
      <c r="HN9" t="e">
        <f>AND(List1!A244,"AAAAAH//et0=")</f>
        <v>#VALUE!</v>
      </c>
      <c r="HO9" t="e">
        <f>AND(List1!B244,"AAAAAH//et4=")</f>
        <v>#VALUE!</v>
      </c>
      <c r="HP9" t="e">
        <f>AND(List1!C244,"AAAAAH//et8=")</f>
        <v>#VALUE!</v>
      </c>
      <c r="HQ9" t="e">
        <f>AND(List1!E244,"AAAAAH//euA=")</f>
        <v>#VALUE!</v>
      </c>
      <c r="HR9" t="e">
        <f>AND(List1!F244,"AAAAAH//euE=")</f>
        <v>#VALUE!</v>
      </c>
      <c r="HS9" t="e">
        <f>AND(List1!G244,"AAAAAH//euI=")</f>
        <v>#VALUE!</v>
      </c>
      <c r="HT9" t="e">
        <f>AND(List1!H244,"AAAAAH//euM=")</f>
        <v>#VALUE!</v>
      </c>
      <c r="HU9" t="e">
        <f>AND(List1!I244,"AAAAAH//euQ=")</f>
        <v>#VALUE!</v>
      </c>
      <c r="HV9">
        <f>IF(List1!243:243,"AAAAAH//euU=",0)</f>
        <v>0</v>
      </c>
      <c r="HW9" t="e">
        <f>AND(List1!A245,"AAAAAH//euY=")</f>
        <v>#VALUE!</v>
      </c>
      <c r="HX9" t="e">
        <f>AND(List1!B245,"AAAAAH//euc=")</f>
        <v>#VALUE!</v>
      </c>
      <c r="HY9" t="e">
        <f>AND(List1!C245,"AAAAAH//eug=")</f>
        <v>#VALUE!</v>
      </c>
      <c r="HZ9" t="e">
        <f>AND(List1!E245,"AAAAAH//euk=")</f>
        <v>#VALUE!</v>
      </c>
      <c r="IA9" t="e">
        <f>AND(List1!F245,"AAAAAH//euo=")</f>
        <v>#VALUE!</v>
      </c>
      <c r="IB9" t="e">
        <f>AND(List1!G245,"AAAAAH//eus=")</f>
        <v>#VALUE!</v>
      </c>
      <c r="IC9" t="e">
        <f>AND(List1!H245,"AAAAAH//euw=")</f>
        <v>#VALUE!</v>
      </c>
      <c r="ID9" t="e">
        <f>AND(List1!I245,"AAAAAH//eu0=")</f>
        <v>#VALUE!</v>
      </c>
      <c r="IE9">
        <f>IF(List1!244:244,"AAAAAH//eu4=",0)</f>
        <v>0</v>
      </c>
      <c r="IF9" t="e">
        <f>AND(List1!A246,"AAAAAH//eu8=")</f>
        <v>#VALUE!</v>
      </c>
      <c r="IG9" t="e">
        <f>AND(List1!B246,"AAAAAH//evA=")</f>
        <v>#VALUE!</v>
      </c>
      <c r="IH9" t="e">
        <f>AND(List1!C246,"AAAAAH//evE=")</f>
        <v>#VALUE!</v>
      </c>
      <c r="II9" t="e">
        <f>AND(List1!E246,"AAAAAH//evI=")</f>
        <v>#VALUE!</v>
      </c>
      <c r="IJ9" t="e">
        <f>AND(List1!F246,"AAAAAH//evM=")</f>
        <v>#VALUE!</v>
      </c>
      <c r="IK9" t="e">
        <f>AND(List1!G246,"AAAAAH//evQ=")</f>
        <v>#VALUE!</v>
      </c>
      <c r="IL9" t="e">
        <f>AND(List1!H246,"AAAAAH//evU=")</f>
        <v>#VALUE!</v>
      </c>
      <c r="IM9" t="e">
        <f>AND(List1!I246,"AAAAAH//evY=")</f>
        <v>#VALUE!</v>
      </c>
      <c r="IN9">
        <f>IF(List1!245:245,"AAAAAH//evc=",0)</f>
        <v>0</v>
      </c>
      <c r="IO9" t="e">
        <f>AND(List1!A247,"AAAAAH//evg=")</f>
        <v>#VALUE!</v>
      </c>
      <c r="IP9" t="e">
        <f>AND(List1!B247,"AAAAAH//evk=")</f>
        <v>#VALUE!</v>
      </c>
      <c r="IQ9" t="e">
        <f>AND(List1!C247,"AAAAAH//evo=")</f>
        <v>#VALUE!</v>
      </c>
      <c r="IR9" t="e">
        <f>AND(List1!E247,"AAAAAH//evs=")</f>
        <v>#VALUE!</v>
      </c>
      <c r="IS9" t="e">
        <f>AND(List1!F247,"AAAAAH//evw=")</f>
        <v>#VALUE!</v>
      </c>
      <c r="IT9" t="e">
        <f>AND(List1!G247,"AAAAAH//ev0=")</f>
        <v>#VALUE!</v>
      </c>
      <c r="IU9" t="e">
        <f>AND(List1!H247,"AAAAAH//ev4=")</f>
        <v>#VALUE!</v>
      </c>
      <c r="IV9" t="e">
        <f>AND(List1!I247,"AAAAAH//ev8=")</f>
        <v>#VALUE!</v>
      </c>
    </row>
    <row r="10" spans="1:256" ht="12.75">
      <c r="A10" t="e">
        <f>IF(List1!246:246,"AAAAAG1vFwA=",0)</f>
        <v>#VALUE!</v>
      </c>
      <c r="B10" t="e">
        <f>AND(List1!A248,"AAAAAG1vFwE=")</f>
        <v>#VALUE!</v>
      </c>
      <c r="C10" t="e">
        <f>AND(List1!B248,"AAAAAG1vFwI=")</f>
        <v>#VALUE!</v>
      </c>
      <c r="D10" t="e">
        <f>AND(List1!C248,"AAAAAG1vFwM=")</f>
        <v>#VALUE!</v>
      </c>
      <c r="E10" t="e">
        <f>AND(List1!E248,"AAAAAG1vFwQ=")</f>
        <v>#VALUE!</v>
      </c>
      <c r="F10" t="e">
        <f>AND(List1!F248,"AAAAAG1vFwU=")</f>
        <v>#VALUE!</v>
      </c>
      <c r="G10" t="e">
        <f>AND(List1!G248,"AAAAAG1vFwY=")</f>
        <v>#VALUE!</v>
      </c>
      <c r="H10" t="e">
        <f>AND(List1!H248,"AAAAAG1vFwc=")</f>
        <v>#VALUE!</v>
      </c>
      <c r="I10" t="e">
        <f>AND(List1!I248,"AAAAAG1vFwg=")</f>
        <v>#VALUE!</v>
      </c>
      <c r="J10">
        <f>IF(List1!247:247,"AAAAAG1vFwk=",0)</f>
        <v>0</v>
      </c>
      <c r="K10" t="e">
        <f>AND(List1!A249,"AAAAAG1vFwo=")</f>
        <v>#VALUE!</v>
      </c>
      <c r="L10" t="e">
        <f>AND(List1!B249,"AAAAAG1vFws=")</f>
        <v>#VALUE!</v>
      </c>
      <c r="M10" t="e">
        <f>AND(List1!C249,"AAAAAG1vFww=")</f>
        <v>#VALUE!</v>
      </c>
      <c r="N10" t="e">
        <f>AND(List1!E249,"AAAAAG1vFw0=")</f>
        <v>#VALUE!</v>
      </c>
      <c r="O10" t="e">
        <f>AND(List1!F249,"AAAAAG1vFw4=")</f>
        <v>#VALUE!</v>
      </c>
      <c r="P10" t="e">
        <f>AND(List1!G249,"AAAAAG1vFw8=")</f>
        <v>#VALUE!</v>
      </c>
      <c r="Q10" t="e">
        <f>AND(List1!H249,"AAAAAG1vFxA=")</f>
        <v>#VALUE!</v>
      </c>
      <c r="R10" t="e">
        <f>AND(List1!I249,"AAAAAG1vFxE=")</f>
        <v>#VALUE!</v>
      </c>
      <c r="S10">
        <f>IF(List1!248:248,"AAAAAG1vFxI=",0)</f>
        <v>0</v>
      </c>
      <c r="T10" t="e">
        <f>AND(List1!A250,"AAAAAG1vFxM=")</f>
        <v>#VALUE!</v>
      </c>
      <c r="U10" t="e">
        <f>AND(List1!B250,"AAAAAG1vFxQ=")</f>
        <v>#VALUE!</v>
      </c>
      <c r="V10" t="e">
        <f>AND(List1!C250,"AAAAAG1vFxU=")</f>
        <v>#VALUE!</v>
      </c>
      <c r="W10" t="e">
        <f>AND(List1!E250,"AAAAAG1vFxY=")</f>
        <v>#VALUE!</v>
      </c>
      <c r="X10" t="e">
        <f>AND(List1!F250,"AAAAAG1vFxc=")</f>
        <v>#VALUE!</v>
      </c>
      <c r="Y10" t="e">
        <f>AND(List1!G250,"AAAAAG1vFxg=")</f>
        <v>#VALUE!</v>
      </c>
      <c r="Z10" t="e">
        <f>AND(List1!H250,"AAAAAG1vFxk=")</f>
        <v>#VALUE!</v>
      </c>
      <c r="AA10" t="e">
        <f>AND(List1!I250,"AAAAAG1vFxo=")</f>
        <v>#VALUE!</v>
      </c>
      <c r="AB10">
        <f>IF(List1!249:249,"AAAAAG1vFxs=",0)</f>
        <v>0</v>
      </c>
      <c r="AC10" t="e">
        <f>AND(List1!A251,"AAAAAG1vFxw=")</f>
        <v>#VALUE!</v>
      </c>
      <c r="AD10" t="e">
        <f>AND(List1!B251,"AAAAAG1vFx0=")</f>
        <v>#VALUE!</v>
      </c>
      <c r="AE10" t="e">
        <f>AND(List1!C251,"AAAAAG1vFx4=")</f>
        <v>#VALUE!</v>
      </c>
      <c r="AF10" t="e">
        <f>AND(List1!E251,"AAAAAG1vFx8=")</f>
        <v>#VALUE!</v>
      </c>
      <c r="AG10" t="e">
        <f>AND(List1!F251,"AAAAAG1vFyA=")</f>
        <v>#VALUE!</v>
      </c>
      <c r="AH10" t="e">
        <f>AND(List1!G251,"AAAAAG1vFyE=")</f>
        <v>#VALUE!</v>
      </c>
      <c r="AI10" t="e">
        <f>AND(List1!H251,"AAAAAG1vFyI=")</f>
        <v>#VALUE!</v>
      </c>
      <c r="AJ10" t="e">
        <f>AND(List1!I251,"AAAAAG1vFyM=")</f>
        <v>#VALUE!</v>
      </c>
      <c r="AK10">
        <f>IF(List1!250:250,"AAAAAG1vFyQ=",0)</f>
        <v>0</v>
      </c>
      <c r="AL10" t="e">
        <f>AND(List1!A252,"AAAAAG1vFyU=")</f>
        <v>#VALUE!</v>
      </c>
      <c r="AM10" t="e">
        <f>AND(List1!B252,"AAAAAG1vFyY=")</f>
        <v>#VALUE!</v>
      </c>
      <c r="AN10" t="e">
        <f>AND(List1!C252,"AAAAAG1vFyc=")</f>
        <v>#VALUE!</v>
      </c>
      <c r="AO10" t="e">
        <f>AND(List1!E252,"AAAAAG1vFyg=")</f>
        <v>#VALUE!</v>
      </c>
      <c r="AP10" t="e">
        <f>AND(List1!F252,"AAAAAG1vFyk=")</f>
        <v>#VALUE!</v>
      </c>
      <c r="AQ10" t="e">
        <f>AND(List1!G252,"AAAAAG1vFyo=")</f>
        <v>#VALUE!</v>
      </c>
      <c r="AR10" t="e">
        <f>AND(List1!H252,"AAAAAG1vFys=")</f>
        <v>#VALUE!</v>
      </c>
      <c r="AS10" t="e">
        <f>AND(List1!I252,"AAAAAG1vFyw=")</f>
        <v>#VALUE!</v>
      </c>
      <c r="AT10">
        <f>IF(List1!251:251,"AAAAAG1vFy0=",0)</f>
        <v>0</v>
      </c>
      <c r="AU10" t="e">
        <f>AND(List1!A253,"AAAAAG1vFy4=")</f>
        <v>#VALUE!</v>
      </c>
      <c r="AV10" t="e">
        <f>AND(List1!B253,"AAAAAG1vFy8=")</f>
        <v>#VALUE!</v>
      </c>
      <c r="AW10" t="e">
        <f>AND(List1!C253,"AAAAAG1vFzA=")</f>
        <v>#VALUE!</v>
      </c>
      <c r="AX10" t="e">
        <f>AND(List1!E253,"AAAAAG1vFzE=")</f>
        <v>#VALUE!</v>
      </c>
      <c r="AY10" t="e">
        <f>AND(List1!F253,"AAAAAG1vFzI=")</f>
        <v>#VALUE!</v>
      </c>
      <c r="AZ10" t="e">
        <f>AND(List1!G253,"AAAAAG1vFzM=")</f>
        <v>#VALUE!</v>
      </c>
      <c r="BA10" t="e">
        <f>AND(List1!H253,"AAAAAG1vFzQ=")</f>
        <v>#VALUE!</v>
      </c>
      <c r="BB10" t="e">
        <f>AND(List1!I253,"AAAAAG1vFzU=")</f>
        <v>#VALUE!</v>
      </c>
      <c r="BC10">
        <f>IF(List1!252:252,"AAAAAG1vFzY=",0)</f>
        <v>0</v>
      </c>
      <c r="BD10" t="e">
        <f>AND(List1!A254,"AAAAAG1vFzc=")</f>
        <v>#VALUE!</v>
      </c>
      <c r="BE10" t="e">
        <f>AND(List1!B254,"AAAAAG1vFzg=")</f>
        <v>#VALUE!</v>
      </c>
      <c r="BF10" t="e">
        <f>AND(List1!C254,"AAAAAG1vFzk=")</f>
        <v>#VALUE!</v>
      </c>
      <c r="BG10" t="e">
        <f>AND(List1!E254,"AAAAAG1vFzo=")</f>
        <v>#VALUE!</v>
      </c>
      <c r="BH10" t="e">
        <f>AND(List1!F254,"AAAAAG1vFzs=")</f>
        <v>#VALUE!</v>
      </c>
      <c r="BI10" t="e">
        <f>AND(List1!G254,"AAAAAG1vFzw=")</f>
        <v>#VALUE!</v>
      </c>
      <c r="BJ10" t="e">
        <f>AND(List1!H254,"AAAAAG1vFz0=")</f>
        <v>#VALUE!</v>
      </c>
      <c r="BK10" t="e">
        <f>AND(List1!I254,"AAAAAG1vFz4=")</f>
        <v>#VALUE!</v>
      </c>
      <c r="BL10">
        <f>IF(List1!253:253,"AAAAAG1vFz8=",0)</f>
        <v>0</v>
      </c>
      <c r="BM10" t="e">
        <f>AND(List1!A255,"AAAAAG1vF0A=")</f>
        <v>#VALUE!</v>
      </c>
      <c r="BN10" t="e">
        <f>AND(List1!B255,"AAAAAG1vF0E=")</f>
        <v>#VALUE!</v>
      </c>
      <c r="BO10" t="e">
        <f>AND(List1!C255,"AAAAAG1vF0I=")</f>
        <v>#VALUE!</v>
      </c>
      <c r="BP10" t="e">
        <f>AND(List1!E255,"AAAAAG1vF0M=")</f>
        <v>#VALUE!</v>
      </c>
      <c r="BQ10" t="e">
        <f>AND(List1!F255,"AAAAAG1vF0Q=")</f>
        <v>#VALUE!</v>
      </c>
      <c r="BR10" t="e">
        <f>AND(List1!G255,"AAAAAG1vF0U=")</f>
        <v>#VALUE!</v>
      </c>
      <c r="BS10" t="e">
        <f>AND(List1!H255,"AAAAAG1vF0Y=")</f>
        <v>#VALUE!</v>
      </c>
      <c r="BT10" t="e">
        <f>AND(List1!I255,"AAAAAG1vF0c=")</f>
        <v>#VALUE!</v>
      </c>
      <c r="BU10">
        <f>IF(List1!254:254,"AAAAAG1vF0g=",0)</f>
        <v>0</v>
      </c>
      <c r="BV10" t="e">
        <f>AND(List1!A256,"AAAAAG1vF0k=")</f>
        <v>#VALUE!</v>
      </c>
      <c r="BW10" t="e">
        <f>AND(List1!B256,"AAAAAG1vF0o=")</f>
        <v>#VALUE!</v>
      </c>
      <c r="BX10" t="e">
        <f>AND(List1!C256,"AAAAAG1vF0s=")</f>
        <v>#VALUE!</v>
      </c>
      <c r="BY10" t="e">
        <f>AND(List1!E256,"AAAAAG1vF0w=")</f>
        <v>#VALUE!</v>
      </c>
      <c r="BZ10" t="e">
        <f>AND(List1!F256,"AAAAAG1vF00=")</f>
        <v>#VALUE!</v>
      </c>
      <c r="CA10" t="e">
        <f>AND(List1!G256,"AAAAAG1vF04=")</f>
        <v>#VALUE!</v>
      </c>
      <c r="CB10" t="e">
        <f>AND(List1!H256,"AAAAAG1vF08=")</f>
        <v>#VALUE!</v>
      </c>
      <c r="CC10" t="e">
        <f>AND(List1!I256,"AAAAAG1vF1A=")</f>
        <v>#VALUE!</v>
      </c>
      <c r="CD10">
        <f>IF(List1!255:255,"AAAAAG1vF1E=",0)</f>
        <v>0</v>
      </c>
      <c r="CE10" t="e">
        <f>AND(List1!A257,"AAAAAG1vF1I=")</f>
        <v>#VALUE!</v>
      </c>
      <c r="CF10" t="e">
        <f>AND(List1!B257,"AAAAAG1vF1M=")</f>
        <v>#VALUE!</v>
      </c>
      <c r="CG10" t="e">
        <f>AND(List1!C257,"AAAAAG1vF1Q=")</f>
        <v>#VALUE!</v>
      </c>
      <c r="CH10" t="e">
        <f>AND(List1!E257,"AAAAAG1vF1U=")</f>
        <v>#VALUE!</v>
      </c>
      <c r="CI10" t="e">
        <f>AND(List1!F257,"AAAAAG1vF1Y=")</f>
        <v>#VALUE!</v>
      </c>
      <c r="CJ10" t="e">
        <f>AND(List1!G257,"AAAAAG1vF1c=")</f>
        <v>#VALUE!</v>
      </c>
      <c r="CK10" t="e">
        <f>AND(List1!H257,"AAAAAG1vF1g=")</f>
        <v>#VALUE!</v>
      </c>
      <c r="CL10" t="e">
        <f>AND(List1!I257,"AAAAAG1vF1k=")</f>
        <v>#VALUE!</v>
      </c>
      <c r="CM10">
        <f>IF(List1!256:256,"AAAAAG1vF1o=",0)</f>
        <v>0</v>
      </c>
      <c r="CN10" t="e">
        <f>AND(List1!A258,"AAAAAG1vF1s=")</f>
        <v>#VALUE!</v>
      </c>
      <c r="CO10" t="e">
        <f>AND(List1!B258,"AAAAAG1vF1w=")</f>
        <v>#VALUE!</v>
      </c>
      <c r="CP10" t="e">
        <f>AND(List1!C258,"AAAAAG1vF10=")</f>
        <v>#VALUE!</v>
      </c>
      <c r="CQ10" t="e">
        <f>AND(List1!E258,"AAAAAG1vF14=")</f>
        <v>#VALUE!</v>
      </c>
      <c r="CR10" t="e">
        <f>AND(List1!F258,"AAAAAG1vF18=")</f>
        <v>#VALUE!</v>
      </c>
      <c r="CS10" t="e">
        <f>AND(List1!G258,"AAAAAG1vF2A=")</f>
        <v>#VALUE!</v>
      </c>
      <c r="CT10" t="e">
        <f>AND(List1!H258,"AAAAAG1vF2E=")</f>
        <v>#VALUE!</v>
      </c>
      <c r="CU10" t="e">
        <f>AND(List1!I258,"AAAAAG1vF2I=")</f>
        <v>#VALUE!</v>
      </c>
      <c r="CV10">
        <f>IF(List1!257:257,"AAAAAG1vF2M=",0)</f>
        <v>0</v>
      </c>
      <c r="CW10" t="e">
        <f>AND(List1!A259,"AAAAAG1vF2Q=")</f>
        <v>#VALUE!</v>
      </c>
      <c r="CX10" t="e">
        <f>AND(List1!B259,"AAAAAG1vF2U=")</f>
        <v>#VALUE!</v>
      </c>
      <c r="CY10" t="e">
        <f>AND(List1!C259,"AAAAAG1vF2Y=")</f>
        <v>#VALUE!</v>
      </c>
      <c r="CZ10" t="e">
        <f>AND(List1!E259,"AAAAAG1vF2c=")</f>
        <v>#VALUE!</v>
      </c>
      <c r="DA10" t="e">
        <f>AND(List1!F259,"AAAAAG1vF2g=")</f>
        <v>#VALUE!</v>
      </c>
      <c r="DB10" t="e">
        <f>AND(List1!G259,"AAAAAG1vF2k=")</f>
        <v>#VALUE!</v>
      </c>
      <c r="DC10" t="e">
        <f>AND(List1!H259,"AAAAAG1vF2o=")</f>
        <v>#VALUE!</v>
      </c>
      <c r="DD10" t="e">
        <f>AND(List1!I259,"AAAAAG1vF2s=")</f>
        <v>#VALUE!</v>
      </c>
      <c r="DE10">
        <f>IF(List1!258:258,"AAAAAG1vF2w=",0)</f>
        <v>0</v>
      </c>
      <c r="DF10" t="e">
        <f>AND(List1!A260,"AAAAAG1vF20=")</f>
        <v>#VALUE!</v>
      </c>
      <c r="DG10" t="e">
        <f>AND(List1!B260,"AAAAAG1vF24=")</f>
        <v>#VALUE!</v>
      </c>
      <c r="DH10" t="e">
        <f>AND(List1!C260,"AAAAAG1vF28=")</f>
        <v>#VALUE!</v>
      </c>
      <c r="DI10" t="e">
        <f>AND(List1!E260,"AAAAAG1vF3A=")</f>
        <v>#VALUE!</v>
      </c>
      <c r="DJ10" t="e">
        <f>AND(List1!F260,"AAAAAG1vF3E=")</f>
        <v>#VALUE!</v>
      </c>
      <c r="DK10" t="e">
        <f>AND(List1!G260,"AAAAAG1vF3I=")</f>
        <v>#VALUE!</v>
      </c>
      <c r="DL10" t="e">
        <f>AND(List1!H260,"AAAAAG1vF3M=")</f>
        <v>#VALUE!</v>
      </c>
      <c r="DM10" t="e">
        <f>AND(List1!I260,"AAAAAG1vF3Q=")</f>
        <v>#VALUE!</v>
      </c>
      <c r="DN10">
        <f>IF(List1!259:259,"AAAAAG1vF3U=",0)</f>
        <v>0</v>
      </c>
      <c r="DO10" t="e">
        <f>AND(List1!A261,"AAAAAG1vF3Y=")</f>
        <v>#VALUE!</v>
      </c>
      <c r="DP10" t="e">
        <f>AND(List1!B261,"AAAAAG1vF3c=")</f>
        <v>#VALUE!</v>
      </c>
      <c r="DQ10" t="e">
        <f>AND(List1!C261,"AAAAAG1vF3g=")</f>
        <v>#VALUE!</v>
      </c>
      <c r="DR10" t="e">
        <f>AND(List1!E261,"AAAAAG1vF3k=")</f>
        <v>#VALUE!</v>
      </c>
      <c r="DS10" t="e">
        <f>AND(List1!F261,"AAAAAG1vF3o=")</f>
        <v>#VALUE!</v>
      </c>
      <c r="DT10" t="e">
        <f>AND(List1!G261,"AAAAAG1vF3s=")</f>
        <v>#VALUE!</v>
      </c>
      <c r="DU10" t="e">
        <f>AND(List1!H261,"AAAAAG1vF3w=")</f>
        <v>#VALUE!</v>
      </c>
      <c r="DV10" t="e">
        <f>AND(List1!I261,"AAAAAG1vF30=")</f>
        <v>#VALUE!</v>
      </c>
      <c r="DW10">
        <f>IF(List1!260:260,"AAAAAG1vF34=",0)</f>
        <v>0</v>
      </c>
      <c r="DX10" t="e">
        <f>AND(List1!A262,"AAAAAG1vF38=")</f>
        <v>#VALUE!</v>
      </c>
      <c r="DY10" t="e">
        <f>AND(List1!B262,"AAAAAG1vF4A=")</f>
        <v>#VALUE!</v>
      </c>
      <c r="DZ10" t="e">
        <f>AND(List1!C262,"AAAAAG1vF4E=")</f>
        <v>#VALUE!</v>
      </c>
      <c r="EA10" t="e">
        <f>AND(List1!E262,"AAAAAG1vF4I=")</f>
        <v>#VALUE!</v>
      </c>
      <c r="EB10" t="e">
        <f>AND(List1!F262,"AAAAAG1vF4M=")</f>
        <v>#VALUE!</v>
      </c>
      <c r="EC10" t="e">
        <f>AND(List1!G262,"AAAAAG1vF4Q=")</f>
        <v>#VALUE!</v>
      </c>
      <c r="ED10" t="e">
        <f>AND(List1!H262,"AAAAAG1vF4U=")</f>
        <v>#VALUE!</v>
      </c>
      <c r="EE10" t="e">
        <f>AND(List1!I262,"AAAAAG1vF4Y=")</f>
        <v>#VALUE!</v>
      </c>
      <c r="EF10">
        <f>IF(List1!261:261,"AAAAAG1vF4c=",0)</f>
        <v>0</v>
      </c>
      <c r="EG10" t="e">
        <f>AND(List1!A263,"AAAAAG1vF4g=")</f>
        <v>#VALUE!</v>
      </c>
      <c r="EH10" t="e">
        <f>AND(List1!B263,"AAAAAG1vF4k=")</f>
        <v>#VALUE!</v>
      </c>
      <c r="EI10" t="e">
        <f>AND(List1!C263,"AAAAAG1vF4o=")</f>
        <v>#VALUE!</v>
      </c>
      <c r="EJ10" t="e">
        <f>AND(List1!E263,"AAAAAG1vF4s=")</f>
        <v>#VALUE!</v>
      </c>
      <c r="EK10" t="e">
        <f>AND(List1!F263,"AAAAAG1vF4w=")</f>
        <v>#VALUE!</v>
      </c>
      <c r="EL10" t="e">
        <f>AND(List1!G263,"AAAAAG1vF40=")</f>
        <v>#VALUE!</v>
      </c>
      <c r="EM10" t="e">
        <f>AND(List1!H263,"AAAAAG1vF44=")</f>
        <v>#VALUE!</v>
      </c>
      <c r="EN10" t="e">
        <f>AND(List1!I263,"AAAAAG1vF48=")</f>
        <v>#VALUE!</v>
      </c>
      <c r="EO10">
        <f>IF(List1!262:262,"AAAAAG1vF5A=",0)</f>
        <v>0</v>
      </c>
      <c r="EP10" t="e">
        <f>AND(List1!A264,"AAAAAG1vF5E=")</f>
        <v>#VALUE!</v>
      </c>
      <c r="EQ10" t="e">
        <f>AND(List1!B264,"AAAAAG1vF5I=")</f>
        <v>#VALUE!</v>
      </c>
      <c r="ER10" t="e">
        <f>AND(List1!C264,"AAAAAG1vF5M=")</f>
        <v>#VALUE!</v>
      </c>
      <c r="ES10" t="e">
        <f>AND(List1!E264,"AAAAAG1vF5Q=")</f>
        <v>#VALUE!</v>
      </c>
      <c r="ET10" t="e">
        <f>AND(List1!F264,"AAAAAG1vF5U=")</f>
        <v>#VALUE!</v>
      </c>
      <c r="EU10" t="e">
        <f>AND(List1!G264,"AAAAAG1vF5Y=")</f>
        <v>#VALUE!</v>
      </c>
      <c r="EV10" t="e">
        <f>AND(List1!H264,"AAAAAG1vF5c=")</f>
        <v>#VALUE!</v>
      </c>
      <c r="EW10" t="e">
        <f>AND(List1!I264,"AAAAAG1vF5g=")</f>
        <v>#VALUE!</v>
      </c>
      <c r="EX10">
        <f>IF(List1!263:263,"AAAAAG1vF5k=",0)</f>
        <v>0</v>
      </c>
      <c r="EY10" t="e">
        <f>AND(List1!A265,"AAAAAG1vF5o=")</f>
        <v>#VALUE!</v>
      </c>
      <c r="EZ10" t="e">
        <f>AND(List1!B265,"AAAAAG1vF5s=")</f>
        <v>#VALUE!</v>
      </c>
      <c r="FA10" t="e">
        <f>AND(List1!C265,"AAAAAG1vF5w=")</f>
        <v>#VALUE!</v>
      </c>
      <c r="FB10" t="e">
        <f>AND(List1!E265,"AAAAAG1vF50=")</f>
        <v>#VALUE!</v>
      </c>
      <c r="FC10" t="e">
        <f>AND(List1!F265,"AAAAAG1vF54=")</f>
        <v>#VALUE!</v>
      </c>
      <c r="FD10" t="e">
        <f>AND(List1!G265,"AAAAAG1vF58=")</f>
        <v>#VALUE!</v>
      </c>
      <c r="FE10" t="e">
        <f>AND(List1!H265,"AAAAAG1vF6A=")</f>
        <v>#VALUE!</v>
      </c>
      <c r="FF10" t="e">
        <f>AND(List1!I265,"AAAAAG1vF6E=")</f>
        <v>#VALUE!</v>
      </c>
      <c r="FG10">
        <f>IF(List1!264:264,"AAAAAG1vF6I=",0)</f>
        <v>0</v>
      </c>
      <c r="FH10" t="e">
        <f>AND(List1!A266,"AAAAAG1vF6M=")</f>
        <v>#VALUE!</v>
      </c>
      <c r="FI10" t="e">
        <f>AND(List1!B266,"AAAAAG1vF6Q=")</f>
        <v>#VALUE!</v>
      </c>
      <c r="FJ10" t="e">
        <f>AND(List1!C266,"AAAAAG1vF6U=")</f>
        <v>#VALUE!</v>
      </c>
      <c r="FK10" t="e">
        <f>AND(List1!E266,"AAAAAG1vF6Y=")</f>
        <v>#VALUE!</v>
      </c>
      <c r="FL10" t="e">
        <f>AND(List1!F266,"AAAAAG1vF6c=")</f>
        <v>#VALUE!</v>
      </c>
      <c r="FM10" t="e">
        <f>AND(List1!G266,"AAAAAG1vF6g=")</f>
        <v>#VALUE!</v>
      </c>
      <c r="FN10" t="e">
        <f>AND(List1!H266,"AAAAAG1vF6k=")</f>
        <v>#VALUE!</v>
      </c>
      <c r="FO10" t="e">
        <f>AND(List1!I266,"AAAAAG1vF6o=")</f>
        <v>#VALUE!</v>
      </c>
      <c r="FP10">
        <f>IF(List1!265:265,"AAAAAG1vF6s=",0)</f>
        <v>0</v>
      </c>
      <c r="FQ10" t="e">
        <f>AND(List1!A267,"AAAAAG1vF6w=")</f>
        <v>#VALUE!</v>
      </c>
      <c r="FR10" t="e">
        <f>AND(List1!B267,"AAAAAG1vF60=")</f>
        <v>#VALUE!</v>
      </c>
      <c r="FS10" t="e">
        <f>AND(List1!C267,"AAAAAG1vF64=")</f>
        <v>#VALUE!</v>
      </c>
      <c r="FT10" t="e">
        <f>AND(List1!E267,"AAAAAG1vF68=")</f>
        <v>#VALUE!</v>
      </c>
      <c r="FU10" t="e">
        <f>AND(List1!F267,"AAAAAG1vF7A=")</f>
        <v>#VALUE!</v>
      </c>
      <c r="FV10" t="e">
        <f>AND(List1!G267,"AAAAAG1vF7E=")</f>
        <v>#VALUE!</v>
      </c>
      <c r="FW10" t="e">
        <f>AND(List1!H267,"AAAAAG1vF7I=")</f>
        <v>#VALUE!</v>
      </c>
      <c r="FX10" t="e">
        <f>AND(List1!I267,"AAAAAG1vF7M=")</f>
        <v>#VALUE!</v>
      </c>
      <c r="FY10">
        <f>IF(List1!266:266,"AAAAAG1vF7Q=",0)</f>
        <v>0</v>
      </c>
      <c r="FZ10" t="e">
        <f>AND(List1!A268,"AAAAAG1vF7U=")</f>
        <v>#VALUE!</v>
      </c>
      <c r="GA10" t="e">
        <f>AND(List1!B268,"AAAAAG1vF7Y=")</f>
        <v>#VALUE!</v>
      </c>
      <c r="GB10" t="e">
        <f>AND(List1!C268,"AAAAAG1vF7c=")</f>
        <v>#VALUE!</v>
      </c>
      <c r="GC10" t="e">
        <f>AND(List1!E268,"AAAAAG1vF7g=")</f>
        <v>#VALUE!</v>
      </c>
      <c r="GD10" t="e">
        <f>AND(List1!F268,"AAAAAG1vF7k=")</f>
        <v>#VALUE!</v>
      </c>
      <c r="GE10" t="e">
        <f>AND(List1!G268,"AAAAAG1vF7o=")</f>
        <v>#VALUE!</v>
      </c>
      <c r="GF10" t="e">
        <f>AND(List1!H268,"AAAAAG1vF7s=")</f>
        <v>#VALUE!</v>
      </c>
      <c r="GG10" t="e">
        <f>AND(List1!I268,"AAAAAG1vF7w=")</f>
        <v>#VALUE!</v>
      </c>
      <c r="GH10">
        <f>IF(List1!267:267,"AAAAAG1vF70=",0)</f>
        <v>0</v>
      </c>
      <c r="GI10" t="e">
        <f>AND(List1!A269,"AAAAAG1vF74=")</f>
        <v>#VALUE!</v>
      </c>
      <c r="GJ10" t="e">
        <f>AND(List1!B269,"AAAAAG1vF78=")</f>
        <v>#VALUE!</v>
      </c>
      <c r="GK10" t="e">
        <f>AND(List1!C269,"AAAAAG1vF8A=")</f>
        <v>#VALUE!</v>
      </c>
      <c r="GL10" t="e">
        <f>AND(List1!E269,"AAAAAG1vF8E=")</f>
        <v>#VALUE!</v>
      </c>
      <c r="GM10" t="e">
        <f>AND(List1!F269,"AAAAAG1vF8I=")</f>
        <v>#VALUE!</v>
      </c>
      <c r="GN10" t="e">
        <f>AND(List1!G269,"AAAAAG1vF8M=")</f>
        <v>#VALUE!</v>
      </c>
      <c r="GO10" t="e">
        <f>AND(List1!H269,"AAAAAG1vF8Q=")</f>
        <v>#VALUE!</v>
      </c>
      <c r="GP10" t="e">
        <f>AND(List1!I269,"AAAAAG1vF8U=")</f>
        <v>#VALUE!</v>
      </c>
      <c r="GQ10">
        <f>IF(List1!268:268,"AAAAAG1vF8Y=",0)</f>
        <v>0</v>
      </c>
      <c r="GR10" t="e">
        <f>AND(List1!A270,"AAAAAG1vF8c=")</f>
        <v>#VALUE!</v>
      </c>
      <c r="GS10" t="e">
        <f>AND(List1!B270,"AAAAAG1vF8g=")</f>
        <v>#VALUE!</v>
      </c>
      <c r="GT10" t="e">
        <f>AND(List1!C270,"AAAAAG1vF8k=")</f>
        <v>#VALUE!</v>
      </c>
      <c r="GU10" t="e">
        <f>AND(List1!E270,"AAAAAG1vF8o=")</f>
        <v>#VALUE!</v>
      </c>
      <c r="GV10" t="e">
        <f>AND(List1!F270,"AAAAAG1vF8s=")</f>
        <v>#VALUE!</v>
      </c>
      <c r="GW10" t="e">
        <f>AND(List1!G270,"AAAAAG1vF8w=")</f>
        <v>#VALUE!</v>
      </c>
      <c r="GX10" t="e">
        <f>AND(List1!H270,"AAAAAG1vF80=")</f>
        <v>#VALUE!</v>
      </c>
      <c r="GY10" t="e">
        <f>AND(List1!I270,"AAAAAG1vF84=")</f>
        <v>#VALUE!</v>
      </c>
      <c r="GZ10">
        <f>IF(List1!269:269,"AAAAAG1vF88=",0)</f>
        <v>0</v>
      </c>
      <c r="HA10" t="e">
        <f>AND(List1!A271,"AAAAAG1vF9A=")</f>
        <v>#VALUE!</v>
      </c>
      <c r="HB10" t="e">
        <f>AND(List1!B271,"AAAAAG1vF9E=")</f>
        <v>#VALUE!</v>
      </c>
      <c r="HC10" t="e">
        <f>AND(List1!C271,"AAAAAG1vF9I=")</f>
        <v>#VALUE!</v>
      </c>
      <c r="HD10" t="e">
        <f>AND(List1!E271,"AAAAAG1vF9M=")</f>
        <v>#VALUE!</v>
      </c>
      <c r="HE10" t="e">
        <f>AND(List1!F271,"AAAAAG1vF9Q=")</f>
        <v>#VALUE!</v>
      </c>
      <c r="HF10" t="e">
        <f>AND(List1!G271,"AAAAAG1vF9U=")</f>
        <v>#VALUE!</v>
      </c>
      <c r="HG10" t="e">
        <f>AND(List1!H271,"AAAAAG1vF9Y=")</f>
        <v>#VALUE!</v>
      </c>
      <c r="HH10" t="e">
        <f>AND(List1!I271,"AAAAAG1vF9c=")</f>
        <v>#VALUE!</v>
      </c>
      <c r="HI10">
        <f>IF(List1!270:270,"AAAAAG1vF9g=",0)</f>
        <v>0</v>
      </c>
      <c r="HJ10" t="e">
        <f>AND(List1!A272,"AAAAAG1vF9k=")</f>
        <v>#VALUE!</v>
      </c>
      <c r="HK10" t="e">
        <f>AND(List1!B272,"AAAAAG1vF9o=")</f>
        <v>#VALUE!</v>
      </c>
      <c r="HL10" t="e">
        <f>AND(List1!C272,"AAAAAG1vF9s=")</f>
        <v>#VALUE!</v>
      </c>
      <c r="HM10" t="e">
        <f>AND(List1!E272,"AAAAAG1vF9w=")</f>
        <v>#VALUE!</v>
      </c>
      <c r="HN10" t="e">
        <f>AND(List1!F272,"AAAAAG1vF90=")</f>
        <v>#VALUE!</v>
      </c>
      <c r="HO10" t="e">
        <f>AND(List1!G272,"AAAAAG1vF94=")</f>
        <v>#VALUE!</v>
      </c>
      <c r="HP10" t="e">
        <f>AND(List1!H272,"AAAAAG1vF98=")</f>
        <v>#VALUE!</v>
      </c>
      <c r="HQ10" t="e">
        <f>AND(List1!I272,"AAAAAG1vF+A=")</f>
        <v>#VALUE!</v>
      </c>
      <c r="HR10">
        <f>IF(List1!271:271,"AAAAAG1vF+E=",0)</f>
        <v>0</v>
      </c>
      <c r="HS10" t="e">
        <f>AND(List1!A273,"AAAAAG1vF+I=")</f>
        <v>#VALUE!</v>
      </c>
      <c r="HT10" t="e">
        <f>AND(List1!B273,"AAAAAG1vF+M=")</f>
        <v>#VALUE!</v>
      </c>
      <c r="HU10" t="e">
        <f>AND(List1!C273,"AAAAAG1vF+Q=")</f>
        <v>#VALUE!</v>
      </c>
      <c r="HV10" t="e">
        <f>AND(List1!E273,"AAAAAG1vF+U=")</f>
        <v>#VALUE!</v>
      </c>
      <c r="HW10" t="e">
        <f>AND(List1!F273,"AAAAAG1vF+Y=")</f>
        <v>#VALUE!</v>
      </c>
      <c r="HX10" t="e">
        <f>AND(List1!G273,"AAAAAG1vF+c=")</f>
        <v>#VALUE!</v>
      </c>
      <c r="HY10" t="e">
        <f>AND(List1!H273,"AAAAAG1vF+g=")</f>
        <v>#VALUE!</v>
      </c>
      <c r="HZ10" t="e">
        <f>AND(List1!I273,"AAAAAG1vF+k=")</f>
        <v>#VALUE!</v>
      </c>
      <c r="IA10">
        <f>IF(List1!272:272,"AAAAAG1vF+o=",0)</f>
        <v>0</v>
      </c>
      <c r="IB10" t="e">
        <f>AND(List1!A274,"AAAAAG1vF+s=")</f>
        <v>#VALUE!</v>
      </c>
      <c r="IC10" t="e">
        <f>AND(List1!B274,"AAAAAG1vF+w=")</f>
        <v>#VALUE!</v>
      </c>
      <c r="ID10" t="e">
        <f>AND(List1!C274,"AAAAAG1vF+0=")</f>
        <v>#VALUE!</v>
      </c>
      <c r="IE10" t="e">
        <f>AND(List1!E274,"AAAAAG1vF+4=")</f>
        <v>#VALUE!</v>
      </c>
      <c r="IF10" t="e">
        <f>AND(List1!F274,"AAAAAG1vF+8=")</f>
        <v>#VALUE!</v>
      </c>
      <c r="IG10" t="e">
        <f>AND(List1!G274,"AAAAAG1vF/A=")</f>
        <v>#VALUE!</v>
      </c>
      <c r="IH10" t="e">
        <f>AND(List1!H274,"AAAAAG1vF/E=")</f>
        <v>#VALUE!</v>
      </c>
      <c r="II10" t="e">
        <f>AND(List1!I274,"AAAAAG1vF/I=")</f>
        <v>#VALUE!</v>
      </c>
      <c r="IJ10">
        <f>IF(List1!273:273,"AAAAAG1vF/M=",0)</f>
        <v>0</v>
      </c>
      <c r="IK10" t="e">
        <f>AND(List1!A275,"AAAAAG1vF/Q=")</f>
        <v>#VALUE!</v>
      </c>
      <c r="IL10" t="e">
        <f>AND(List1!B275,"AAAAAG1vF/U=")</f>
        <v>#VALUE!</v>
      </c>
      <c r="IM10" t="e">
        <f>AND(List1!C275,"AAAAAG1vF/Y=")</f>
        <v>#VALUE!</v>
      </c>
      <c r="IN10" t="e">
        <f>AND(List1!E275,"AAAAAG1vF/c=")</f>
        <v>#VALUE!</v>
      </c>
      <c r="IO10" t="e">
        <f>AND(List1!F275,"AAAAAG1vF/g=")</f>
        <v>#VALUE!</v>
      </c>
      <c r="IP10" t="e">
        <f>AND(List1!G275,"AAAAAG1vF/k=")</f>
        <v>#VALUE!</v>
      </c>
      <c r="IQ10" t="e">
        <f>AND(List1!H275,"AAAAAG1vF/o=")</f>
        <v>#VALUE!</v>
      </c>
      <c r="IR10" t="e">
        <f>AND(List1!I275,"AAAAAG1vF/s=")</f>
        <v>#VALUE!</v>
      </c>
      <c r="IS10">
        <f>IF(List1!274:274,"AAAAAG1vF/w=",0)</f>
        <v>0</v>
      </c>
      <c r="IT10" t="e">
        <f>AND(List1!A276,"AAAAAG1vF/0=")</f>
        <v>#VALUE!</v>
      </c>
      <c r="IU10" t="e">
        <f>AND(List1!B276,"AAAAAG1vF/4=")</f>
        <v>#VALUE!</v>
      </c>
      <c r="IV10" t="e">
        <f>AND(List1!C276,"AAAAAG1vF/8=")</f>
        <v>#VALUE!</v>
      </c>
    </row>
    <row r="11" spans="1:256" ht="12.75">
      <c r="A11" t="e">
        <f>AND(List1!E276,"AAAAAD/J9wA=")</f>
        <v>#VALUE!</v>
      </c>
      <c r="B11" t="e">
        <f>AND(List1!F276,"AAAAAD/J9wE=")</f>
        <v>#VALUE!</v>
      </c>
      <c r="C11" t="e">
        <f>AND(List1!G276,"AAAAAD/J9wI=")</f>
        <v>#VALUE!</v>
      </c>
      <c r="D11" t="e">
        <f>AND(List1!H276,"AAAAAD/J9wM=")</f>
        <v>#VALUE!</v>
      </c>
      <c r="E11" t="e">
        <f>AND(List1!I276,"AAAAAD/J9wQ=")</f>
        <v>#VALUE!</v>
      </c>
      <c r="F11" t="str">
        <f>IF(List1!275:275,"AAAAAD/J9wU=",0)</f>
        <v>AAAAAD/J9wU=</v>
      </c>
      <c r="G11" t="e">
        <f>AND(List1!A277,"AAAAAD/J9wY=")</f>
        <v>#VALUE!</v>
      </c>
      <c r="H11" t="e">
        <f>AND(List1!B277,"AAAAAD/J9wc=")</f>
        <v>#VALUE!</v>
      </c>
      <c r="I11" t="e">
        <f>AND(List1!C277,"AAAAAD/J9wg=")</f>
        <v>#VALUE!</v>
      </c>
      <c r="J11" t="e">
        <f>AND(List1!E277,"AAAAAD/J9wk=")</f>
        <v>#VALUE!</v>
      </c>
      <c r="K11" t="e">
        <f>AND(List1!F277,"AAAAAD/J9wo=")</f>
        <v>#VALUE!</v>
      </c>
      <c r="L11" t="e">
        <f>AND(List1!G277,"AAAAAD/J9ws=")</f>
        <v>#VALUE!</v>
      </c>
      <c r="M11" t="e">
        <f>AND(List1!H277,"AAAAAD/J9ww=")</f>
        <v>#VALUE!</v>
      </c>
      <c r="N11" t="e">
        <f>AND(List1!I277,"AAAAAD/J9w0=")</f>
        <v>#VALUE!</v>
      </c>
      <c r="O11">
        <f>IF(List1!276:276,"AAAAAD/J9w4=",0)</f>
        <v>0</v>
      </c>
      <c r="P11" t="e">
        <f>AND(List1!A278,"AAAAAD/J9w8=")</f>
        <v>#VALUE!</v>
      </c>
      <c r="Q11" t="e">
        <f>AND(List1!B278,"AAAAAD/J9xA=")</f>
        <v>#VALUE!</v>
      </c>
      <c r="R11" t="e">
        <f>AND(List1!C278,"AAAAAD/J9xE=")</f>
        <v>#VALUE!</v>
      </c>
      <c r="S11" t="e">
        <f>AND(List1!E278,"AAAAAD/J9xI=")</f>
        <v>#VALUE!</v>
      </c>
      <c r="T11" t="e">
        <f>AND(List1!F278,"AAAAAD/J9xM=")</f>
        <v>#VALUE!</v>
      </c>
      <c r="U11" t="e">
        <f>AND(List1!G278,"AAAAAD/J9xQ=")</f>
        <v>#VALUE!</v>
      </c>
      <c r="V11" t="e">
        <f>AND(List1!H278,"AAAAAD/J9xU=")</f>
        <v>#VALUE!</v>
      </c>
      <c r="W11" t="e">
        <f>AND(List1!I278,"AAAAAD/J9xY=")</f>
        <v>#VALUE!</v>
      </c>
      <c r="X11">
        <f>IF(List1!277:277,"AAAAAD/J9xc=",0)</f>
        <v>0</v>
      </c>
      <c r="Y11" t="e">
        <f>AND(List1!A279,"AAAAAD/J9xg=")</f>
        <v>#VALUE!</v>
      </c>
      <c r="Z11" t="e">
        <f>AND(List1!B279,"AAAAAD/J9xk=")</f>
        <v>#VALUE!</v>
      </c>
      <c r="AA11" t="e">
        <f>AND(List1!C279,"AAAAAD/J9xo=")</f>
        <v>#VALUE!</v>
      </c>
      <c r="AB11" t="e">
        <f>AND(List1!E279,"AAAAAD/J9xs=")</f>
        <v>#VALUE!</v>
      </c>
      <c r="AC11" t="e">
        <f>AND(List1!F279,"AAAAAD/J9xw=")</f>
        <v>#VALUE!</v>
      </c>
      <c r="AD11" t="e">
        <f>AND(List1!G279,"AAAAAD/J9x0=")</f>
        <v>#VALUE!</v>
      </c>
      <c r="AE11" t="e">
        <f>AND(List1!H279,"AAAAAD/J9x4=")</f>
        <v>#VALUE!</v>
      </c>
      <c r="AF11" t="e">
        <f>AND(List1!I279,"AAAAAD/J9x8=")</f>
        <v>#VALUE!</v>
      </c>
      <c r="AG11">
        <f>IF(List1!278:278,"AAAAAD/J9yA=",0)</f>
        <v>0</v>
      </c>
      <c r="AH11" t="e">
        <f>AND(List1!A280,"AAAAAD/J9yE=")</f>
        <v>#VALUE!</v>
      </c>
      <c r="AI11" t="e">
        <f>AND(List1!B280,"AAAAAD/J9yI=")</f>
        <v>#VALUE!</v>
      </c>
      <c r="AJ11" t="e">
        <f>AND(List1!C280,"AAAAAD/J9yM=")</f>
        <v>#VALUE!</v>
      </c>
      <c r="AK11" t="e">
        <f>AND(List1!E280,"AAAAAD/J9yQ=")</f>
        <v>#VALUE!</v>
      </c>
      <c r="AL11" t="e">
        <f>AND(List1!F280,"AAAAAD/J9yU=")</f>
        <v>#VALUE!</v>
      </c>
      <c r="AM11" t="e">
        <f>AND(List1!G280,"AAAAAD/J9yY=")</f>
        <v>#VALUE!</v>
      </c>
      <c r="AN11" t="e">
        <f>AND(List1!H280,"AAAAAD/J9yc=")</f>
        <v>#VALUE!</v>
      </c>
      <c r="AO11" t="e">
        <f>AND(List1!I280,"AAAAAD/J9yg=")</f>
        <v>#VALUE!</v>
      </c>
      <c r="AP11">
        <f>IF(List1!279:279,"AAAAAD/J9yk=",0)</f>
        <v>0</v>
      </c>
      <c r="AQ11" t="e">
        <f>AND(List1!A281,"AAAAAD/J9yo=")</f>
        <v>#VALUE!</v>
      </c>
      <c r="AR11" t="e">
        <f>AND(List1!B281,"AAAAAD/J9ys=")</f>
        <v>#VALUE!</v>
      </c>
      <c r="AS11" t="e">
        <f>AND(List1!C281,"AAAAAD/J9yw=")</f>
        <v>#VALUE!</v>
      </c>
      <c r="AT11" t="e">
        <f>AND(List1!E281,"AAAAAD/J9y0=")</f>
        <v>#VALUE!</v>
      </c>
      <c r="AU11" t="e">
        <f>AND(List1!F281,"AAAAAD/J9y4=")</f>
        <v>#VALUE!</v>
      </c>
      <c r="AV11" t="e">
        <f>AND(List1!G281,"AAAAAD/J9y8=")</f>
        <v>#VALUE!</v>
      </c>
      <c r="AW11" t="e">
        <f>AND(List1!H281,"AAAAAD/J9zA=")</f>
        <v>#VALUE!</v>
      </c>
      <c r="AX11" t="e">
        <f>AND(List1!I281,"AAAAAD/J9zE=")</f>
        <v>#VALUE!</v>
      </c>
      <c r="AY11">
        <f>IF(List1!280:280,"AAAAAD/J9zI=",0)</f>
        <v>0</v>
      </c>
      <c r="AZ11" t="e">
        <f>AND(List1!A282,"AAAAAD/J9zM=")</f>
        <v>#VALUE!</v>
      </c>
      <c r="BA11" t="e">
        <f>AND(List1!B282,"AAAAAD/J9zQ=")</f>
        <v>#VALUE!</v>
      </c>
      <c r="BB11" t="e">
        <f>AND(List1!C282,"AAAAAD/J9zU=")</f>
        <v>#VALUE!</v>
      </c>
      <c r="BC11" t="e">
        <f>AND(List1!E282,"AAAAAD/J9zY=")</f>
        <v>#VALUE!</v>
      </c>
      <c r="BD11" t="e">
        <f>AND(List1!F282,"AAAAAD/J9zc=")</f>
        <v>#VALUE!</v>
      </c>
      <c r="BE11" t="e">
        <f>AND(List1!G282,"AAAAAD/J9zg=")</f>
        <v>#VALUE!</v>
      </c>
      <c r="BF11" t="e">
        <f>AND(List1!H282,"AAAAAD/J9zk=")</f>
        <v>#VALUE!</v>
      </c>
      <c r="BG11" t="e">
        <f>AND(List1!I282,"AAAAAD/J9zo=")</f>
        <v>#VALUE!</v>
      </c>
      <c r="BH11" t="e">
        <f>IF(List1!#REF!,"AAAAAD/J9zs=",0)</f>
        <v>#REF!</v>
      </c>
      <c r="BI11" t="e">
        <f>AND(List1!#REF!,"AAAAAD/J9zw=")</f>
        <v>#REF!</v>
      </c>
      <c r="BJ11" t="e">
        <f>AND(List1!#REF!,"AAAAAD/J9z0=")</f>
        <v>#REF!</v>
      </c>
      <c r="BK11" t="e">
        <f>AND(List1!#REF!,"AAAAAD/J9z4=")</f>
        <v>#REF!</v>
      </c>
      <c r="BL11" t="e">
        <f>AND(List1!#REF!,"AAAAAD/J9z8=")</f>
        <v>#REF!</v>
      </c>
      <c r="BM11" t="e">
        <f>AND(List1!#REF!,"AAAAAD/J90A=")</f>
        <v>#REF!</v>
      </c>
      <c r="BN11" t="e">
        <f>AND(List1!#REF!,"AAAAAD/J90E=")</f>
        <v>#REF!</v>
      </c>
      <c r="BO11" t="e">
        <f>AND(List1!#REF!,"AAAAAD/J90I=")</f>
        <v>#REF!</v>
      </c>
      <c r="BP11" t="e">
        <f>AND(List1!#REF!,"AAAAAD/J90M=")</f>
        <v>#REF!</v>
      </c>
      <c r="BQ11" t="e">
        <f>IF(List1!#REF!,"AAAAAD/J90Q=",0)</f>
        <v>#REF!</v>
      </c>
      <c r="BR11" t="e">
        <f>AND(List1!#REF!,"AAAAAD/J90U=")</f>
        <v>#REF!</v>
      </c>
      <c r="BS11" t="e">
        <f>AND(List1!#REF!,"AAAAAD/J90Y=")</f>
        <v>#REF!</v>
      </c>
      <c r="BT11" t="e">
        <f>AND(List1!#REF!,"AAAAAD/J90c=")</f>
        <v>#REF!</v>
      </c>
      <c r="BU11" t="e">
        <f>AND(List1!#REF!,"AAAAAD/J90g=")</f>
        <v>#REF!</v>
      </c>
      <c r="BV11" t="e">
        <f>AND(List1!#REF!,"AAAAAD/J90k=")</f>
        <v>#REF!</v>
      </c>
      <c r="BW11" t="e">
        <f>AND(List1!#REF!,"AAAAAD/J90o=")</f>
        <v>#REF!</v>
      </c>
      <c r="BX11" t="e">
        <f>AND(List1!#REF!,"AAAAAD/J90s=")</f>
        <v>#REF!</v>
      </c>
      <c r="BY11" t="e">
        <f>AND(List1!#REF!,"AAAAAD/J90w=")</f>
        <v>#REF!</v>
      </c>
      <c r="BZ11">
        <f>IF(List1!281:281,"AAAAAD/J900=",0)</f>
        <v>0</v>
      </c>
      <c r="CA11" t="e">
        <f>AND(List1!A283,"AAAAAD/J904=")</f>
        <v>#VALUE!</v>
      </c>
      <c r="CB11" t="e">
        <f>AND(List1!B283,"AAAAAD/J908=")</f>
        <v>#VALUE!</v>
      </c>
      <c r="CC11" t="e">
        <f>AND(List1!C283,"AAAAAD/J91A=")</f>
        <v>#VALUE!</v>
      </c>
      <c r="CD11" t="e">
        <f>AND(List1!E283,"AAAAAD/J91E=")</f>
        <v>#VALUE!</v>
      </c>
      <c r="CE11" t="e">
        <f>AND(List1!F283,"AAAAAD/J91I=")</f>
        <v>#VALUE!</v>
      </c>
      <c r="CF11" t="e">
        <f>AND(List1!G283,"AAAAAD/J91M=")</f>
        <v>#VALUE!</v>
      </c>
      <c r="CG11" t="e">
        <f>AND(List1!H283,"AAAAAD/J91Q=")</f>
        <v>#VALUE!</v>
      </c>
      <c r="CH11" t="e">
        <f>AND(List1!I283,"AAAAAD/J91U=")</f>
        <v>#VALUE!</v>
      </c>
      <c r="CI11">
        <f>IF(List1!282:282,"AAAAAD/J91Y=",0)</f>
        <v>0</v>
      </c>
      <c r="CJ11" t="e">
        <f>AND(List1!A284,"AAAAAD/J91c=")</f>
        <v>#VALUE!</v>
      </c>
      <c r="CK11" t="e">
        <f>AND(List1!B284,"AAAAAD/J91g=")</f>
        <v>#VALUE!</v>
      </c>
      <c r="CL11" t="e">
        <f>AND(List1!C284,"AAAAAD/J91k=")</f>
        <v>#VALUE!</v>
      </c>
      <c r="CM11" t="e">
        <f>AND(List1!E284,"AAAAAD/J91o=")</f>
        <v>#VALUE!</v>
      </c>
      <c r="CN11" t="e">
        <f>AND(List1!F284,"AAAAAD/J91s=")</f>
        <v>#VALUE!</v>
      </c>
      <c r="CO11" t="e">
        <f>AND(List1!G284,"AAAAAD/J91w=")</f>
        <v>#VALUE!</v>
      </c>
      <c r="CP11" t="e">
        <f>AND(List1!H284,"AAAAAD/J910=")</f>
        <v>#VALUE!</v>
      </c>
      <c r="CQ11" t="e">
        <f>AND(List1!I284,"AAAAAD/J914=")</f>
        <v>#VALUE!</v>
      </c>
      <c r="CR11">
        <f>IF(List1!283:283,"AAAAAD/J918=",0)</f>
        <v>0</v>
      </c>
      <c r="CS11" t="e">
        <f>AND(List1!A285,"AAAAAD/J92A=")</f>
        <v>#VALUE!</v>
      </c>
      <c r="CT11" t="e">
        <f>AND(List1!B285,"AAAAAD/J92E=")</f>
        <v>#VALUE!</v>
      </c>
      <c r="CU11" t="e">
        <f>AND(List1!C285,"AAAAAD/J92I=")</f>
        <v>#VALUE!</v>
      </c>
      <c r="CV11" t="e">
        <f>AND(List1!E285,"AAAAAD/J92M=")</f>
        <v>#VALUE!</v>
      </c>
      <c r="CW11" t="e">
        <f>AND(List1!F285,"AAAAAD/J92Q=")</f>
        <v>#VALUE!</v>
      </c>
      <c r="CX11" t="e">
        <f>AND(List1!G285,"AAAAAD/J92U=")</f>
        <v>#VALUE!</v>
      </c>
      <c r="CY11" t="e">
        <f>AND(List1!H285,"AAAAAD/J92Y=")</f>
        <v>#VALUE!</v>
      </c>
      <c r="CZ11" t="e">
        <f>AND(List1!I285,"AAAAAD/J92c=")</f>
        <v>#VALUE!</v>
      </c>
      <c r="DA11">
        <f>IF(List1!284:284,"AAAAAD/J92g=",0)</f>
        <v>0</v>
      </c>
      <c r="DB11" t="e">
        <f>AND(List1!A286,"AAAAAD/J92k=")</f>
        <v>#VALUE!</v>
      </c>
      <c r="DC11" t="e">
        <f>AND(List1!B286,"AAAAAD/J92o=")</f>
        <v>#VALUE!</v>
      </c>
      <c r="DD11" t="e">
        <f>AND(List1!C286,"AAAAAD/J92s=")</f>
        <v>#VALUE!</v>
      </c>
      <c r="DE11" t="e">
        <f>AND(List1!E286,"AAAAAD/J92w=")</f>
        <v>#VALUE!</v>
      </c>
      <c r="DF11" t="e">
        <f>AND(List1!F286,"AAAAAD/J920=")</f>
        <v>#VALUE!</v>
      </c>
      <c r="DG11" t="e">
        <f>AND(List1!G286,"AAAAAD/J924=")</f>
        <v>#VALUE!</v>
      </c>
      <c r="DH11" t="e">
        <f>AND(List1!H286,"AAAAAD/J928=")</f>
        <v>#VALUE!</v>
      </c>
      <c r="DI11" t="e">
        <f>AND(List1!I286,"AAAAAD/J93A=")</f>
        <v>#VALUE!</v>
      </c>
      <c r="DJ11">
        <f>IF(List1!285:285,"AAAAAD/J93E=",0)</f>
        <v>0</v>
      </c>
      <c r="DK11" t="e">
        <f>AND(List1!A287,"AAAAAD/J93I=")</f>
        <v>#VALUE!</v>
      </c>
      <c r="DL11" t="e">
        <f>AND(List1!B287,"AAAAAD/J93M=")</f>
        <v>#VALUE!</v>
      </c>
      <c r="DM11" t="e">
        <f>AND(List1!C287,"AAAAAD/J93Q=")</f>
        <v>#VALUE!</v>
      </c>
      <c r="DN11" t="e">
        <f>AND(List1!E287,"AAAAAD/J93U=")</f>
        <v>#VALUE!</v>
      </c>
      <c r="DO11" t="e">
        <f>AND(List1!F287,"AAAAAD/J93Y=")</f>
        <v>#VALUE!</v>
      </c>
      <c r="DP11" t="e">
        <f>AND(List1!G287,"AAAAAD/J93c=")</f>
        <v>#VALUE!</v>
      </c>
      <c r="DQ11" t="e">
        <f>AND(List1!H287,"AAAAAD/J93g=")</f>
        <v>#VALUE!</v>
      </c>
      <c r="DR11" t="e">
        <f>AND(List1!I287,"AAAAAD/J93k=")</f>
        <v>#VALUE!</v>
      </c>
      <c r="DS11">
        <f>IF(List1!286:286,"AAAAAD/J93o=",0)</f>
        <v>0</v>
      </c>
      <c r="DT11" t="e">
        <f>AND(List1!A288,"AAAAAD/J93s=")</f>
        <v>#VALUE!</v>
      </c>
      <c r="DU11" t="e">
        <f>AND(List1!B288,"AAAAAD/J93w=")</f>
        <v>#VALUE!</v>
      </c>
      <c r="DV11" t="e">
        <f>AND(List1!C288,"AAAAAD/J930=")</f>
        <v>#VALUE!</v>
      </c>
      <c r="DW11" t="e">
        <f>AND(List1!E288,"AAAAAD/J934=")</f>
        <v>#VALUE!</v>
      </c>
      <c r="DX11" t="e">
        <f>AND(List1!F288,"AAAAAD/J938=")</f>
        <v>#VALUE!</v>
      </c>
      <c r="DY11" t="e">
        <f>AND(List1!G288,"AAAAAD/J94A=")</f>
        <v>#VALUE!</v>
      </c>
      <c r="DZ11" t="e">
        <f>AND(List1!H288,"AAAAAD/J94E=")</f>
        <v>#VALUE!</v>
      </c>
      <c r="EA11" t="e">
        <f>AND(List1!I288,"AAAAAD/J94I=")</f>
        <v>#VALUE!</v>
      </c>
      <c r="EB11">
        <f>IF(List1!287:287,"AAAAAD/J94M=",0)</f>
        <v>0</v>
      </c>
      <c r="EC11" t="e">
        <f>AND(List1!A289,"AAAAAD/J94Q=")</f>
        <v>#VALUE!</v>
      </c>
      <c r="ED11" t="e">
        <f>AND(List1!B289,"AAAAAD/J94U=")</f>
        <v>#VALUE!</v>
      </c>
      <c r="EE11" t="e">
        <f>AND(List1!C289,"AAAAAD/J94Y=")</f>
        <v>#VALUE!</v>
      </c>
      <c r="EF11" t="e">
        <f>AND(List1!E289,"AAAAAD/J94c=")</f>
        <v>#VALUE!</v>
      </c>
      <c r="EG11" t="e">
        <f>AND(List1!F289,"AAAAAD/J94g=")</f>
        <v>#VALUE!</v>
      </c>
      <c r="EH11" t="e">
        <f>AND(List1!G289,"AAAAAD/J94k=")</f>
        <v>#VALUE!</v>
      </c>
      <c r="EI11" t="e">
        <f>AND(List1!H289,"AAAAAD/J94o=")</f>
        <v>#VALUE!</v>
      </c>
      <c r="EJ11" t="e">
        <f>AND(List1!I289,"AAAAAD/J94s=")</f>
        <v>#VALUE!</v>
      </c>
      <c r="EK11">
        <f>IF(List1!288:288,"AAAAAD/J94w=",0)</f>
        <v>0</v>
      </c>
      <c r="EL11" t="e">
        <f>AND(List1!A290,"AAAAAD/J940=")</f>
        <v>#VALUE!</v>
      </c>
      <c r="EM11" t="e">
        <f>AND(List1!B290,"AAAAAD/J944=")</f>
        <v>#VALUE!</v>
      </c>
      <c r="EN11" t="e">
        <f>AND(List1!C290,"AAAAAD/J948=")</f>
        <v>#VALUE!</v>
      </c>
      <c r="EO11" t="e">
        <f>AND(List1!E290,"AAAAAD/J95A=")</f>
        <v>#VALUE!</v>
      </c>
      <c r="EP11" t="e">
        <f>AND(List1!F290,"AAAAAD/J95E=")</f>
        <v>#VALUE!</v>
      </c>
      <c r="EQ11" t="e">
        <f>AND(List1!G290,"AAAAAD/J95I=")</f>
        <v>#VALUE!</v>
      </c>
      <c r="ER11" t="e">
        <f>AND(List1!H290,"AAAAAD/J95M=")</f>
        <v>#VALUE!</v>
      </c>
      <c r="ES11" t="e">
        <f>AND(List1!I290,"AAAAAD/J95Q=")</f>
        <v>#VALUE!</v>
      </c>
      <c r="ET11">
        <f>IF(List1!289:289,"AAAAAD/J95U=",0)</f>
        <v>0</v>
      </c>
      <c r="EU11" t="e">
        <f>AND(List1!A291,"AAAAAD/J95Y=")</f>
        <v>#VALUE!</v>
      </c>
      <c r="EV11" t="e">
        <f>AND(List1!B291,"AAAAAD/J95c=")</f>
        <v>#VALUE!</v>
      </c>
      <c r="EW11" t="e">
        <f>AND(List1!C291,"AAAAAD/J95g=")</f>
        <v>#VALUE!</v>
      </c>
      <c r="EX11" t="e">
        <f>AND(List1!E291,"AAAAAD/J95k=")</f>
        <v>#VALUE!</v>
      </c>
      <c r="EY11" t="e">
        <f>AND(List1!F291,"AAAAAD/J95o=")</f>
        <v>#VALUE!</v>
      </c>
      <c r="EZ11" t="e">
        <f>AND(List1!G291,"AAAAAD/J95s=")</f>
        <v>#VALUE!</v>
      </c>
      <c r="FA11" t="e">
        <f>AND(List1!H291,"AAAAAD/J95w=")</f>
        <v>#VALUE!</v>
      </c>
      <c r="FB11" t="e">
        <f>AND(List1!I291,"AAAAAD/J950=")</f>
        <v>#VALUE!</v>
      </c>
      <c r="FC11">
        <f>IF(List1!290:290,"AAAAAD/J954=",0)</f>
        <v>0</v>
      </c>
      <c r="FD11" t="e">
        <f>AND(List1!A292,"AAAAAD/J958=")</f>
        <v>#VALUE!</v>
      </c>
      <c r="FE11" t="e">
        <f>AND(List1!B292,"AAAAAD/J96A=")</f>
        <v>#VALUE!</v>
      </c>
      <c r="FF11" t="e">
        <f>AND(List1!C292,"AAAAAD/J96E=")</f>
        <v>#VALUE!</v>
      </c>
      <c r="FG11" t="e">
        <f>AND(List1!E292,"AAAAAD/J96I=")</f>
        <v>#VALUE!</v>
      </c>
      <c r="FH11" t="e">
        <f>AND(List1!F292,"AAAAAD/J96M=")</f>
        <v>#VALUE!</v>
      </c>
      <c r="FI11" t="e">
        <f>AND(List1!G292,"AAAAAD/J96Q=")</f>
        <v>#VALUE!</v>
      </c>
      <c r="FJ11" t="e">
        <f>AND(List1!H292,"AAAAAD/J96U=")</f>
        <v>#VALUE!</v>
      </c>
      <c r="FK11" t="e">
        <f>AND(List1!I292,"AAAAAD/J96Y=")</f>
        <v>#VALUE!</v>
      </c>
      <c r="FL11">
        <f>IF(List1!291:291,"AAAAAD/J96c=",0)</f>
        <v>0</v>
      </c>
      <c r="FM11" t="e">
        <f>AND(List1!A293,"AAAAAD/J96g=")</f>
        <v>#VALUE!</v>
      </c>
      <c r="FN11" t="e">
        <f>AND(List1!B293,"AAAAAD/J96k=")</f>
        <v>#VALUE!</v>
      </c>
      <c r="FO11" t="e">
        <f>AND(List1!C293,"AAAAAD/J96o=")</f>
        <v>#VALUE!</v>
      </c>
      <c r="FP11" t="e">
        <f>AND(List1!E293,"AAAAAD/J96s=")</f>
        <v>#VALUE!</v>
      </c>
      <c r="FQ11" t="e">
        <f>AND(List1!F293,"AAAAAD/J96w=")</f>
        <v>#VALUE!</v>
      </c>
      <c r="FR11" t="e">
        <f>AND(List1!G293,"AAAAAD/J960=")</f>
        <v>#VALUE!</v>
      </c>
      <c r="FS11" t="e">
        <f>AND(List1!H293,"AAAAAD/J964=")</f>
        <v>#VALUE!</v>
      </c>
      <c r="FT11" t="e">
        <f>AND(List1!I293,"AAAAAD/J968=")</f>
        <v>#VALUE!</v>
      </c>
      <c r="FU11">
        <f>IF(List1!292:292,"AAAAAD/J97A=",0)</f>
        <v>0</v>
      </c>
      <c r="FV11" t="e">
        <f>AND(List1!A294,"AAAAAD/J97E=")</f>
        <v>#VALUE!</v>
      </c>
      <c r="FW11" t="e">
        <f>AND(List1!B294,"AAAAAD/J97I=")</f>
        <v>#VALUE!</v>
      </c>
      <c r="FX11" t="e">
        <f>AND(List1!C294,"AAAAAD/J97M=")</f>
        <v>#VALUE!</v>
      </c>
      <c r="FY11" t="e">
        <f>AND(List1!E294,"AAAAAD/J97Q=")</f>
        <v>#VALUE!</v>
      </c>
      <c r="FZ11" t="e">
        <f>AND(List1!F294,"AAAAAD/J97U=")</f>
        <v>#VALUE!</v>
      </c>
      <c r="GA11" t="e">
        <f>AND(List1!G294,"AAAAAD/J97Y=")</f>
        <v>#VALUE!</v>
      </c>
      <c r="GB11" t="e">
        <f>AND(List1!H294,"AAAAAD/J97c=")</f>
        <v>#VALUE!</v>
      </c>
      <c r="GC11" t="e">
        <f>AND(List1!I294,"AAAAAD/J97g=")</f>
        <v>#VALUE!</v>
      </c>
      <c r="GD11">
        <f>IF(List1!293:293,"AAAAAD/J97k=",0)</f>
        <v>0</v>
      </c>
      <c r="GE11" t="e">
        <f>AND(List1!A295,"AAAAAD/J97o=")</f>
        <v>#VALUE!</v>
      </c>
      <c r="GF11" t="e">
        <f>AND(List1!B295,"AAAAAD/J97s=")</f>
        <v>#VALUE!</v>
      </c>
      <c r="GG11" t="e">
        <f>AND(List1!C295,"AAAAAD/J97w=")</f>
        <v>#VALUE!</v>
      </c>
      <c r="GH11" t="e">
        <f>AND(List1!E295,"AAAAAD/J970=")</f>
        <v>#VALUE!</v>
      </c>
      <c r="GI11" t="e">
        <f>AND(List1!F295,"AAAAAD/J974=")</f>
        <v>#VALUE!</v>
      </c>
      <c r="GJ11" t="e">
        <f>AND(List1!G295,"AAAAAD/J978=")</f>
        <v>#VALUE!</v>
      </c>
      <c r="GK11" t="e">
        <f>AND(List1!H295,"AAAAAD/J98A=")</f>
        <v>#VALUE!</v>
      </c>
      <c r="GL11" t="e">
        <f>AND(List1!I295,"AAAAAD/J98E=")</f>
        <v>#VALUE!</v>
      </c>
      <c r="GM11">
        <f>IF(List1!294:294,"AAAAAD/J98I=",0)</f>
        <v>0</v>
      </c>
      <c r="GN11" t="e">
        <f>AND(List1!A296,"AAAAAD/J98M=")</f>
        <v>#VALUE!</v>
      </c>
      <c r="GO11" t="e">
        <f>AND(List1!B296,"AAAAAD/J98Q=")</f>
        <v>#VALUE!</v>
      </c>
      <c r="GP11" t="e">
        <f>AND(List1!C296,"AAAAAD/J98U=")</f>
        <v>#VALUE!</v>
      </c>
      <c r="GQ11" t="e">
        <f>AND(List1!E296,"AAAAAD/J98Y=")</f>
        <v>#VALUE!</v>
      </c>
      <c r="GR11" t="e">
        <f>AND(List1!F296,"AAAAAD/J98c=")</f>
        <v>#VALUE!</v>
      </c>
      <c r="GS11" t="e">
        <f>AND(List1!G296,"AAAAAD/J98g=")</f>
        <v>#VALUE!</v>
      </c>
      <c r="GT11" t="e">
        <f>AND(List1!H296,"AAAAAD/J98k=")</f>
        <v>#VALUE!</v>
      </c>
      <c r="GU11" t="e">
        <f>AND(List1!I296,"AAAAAD/J98o=")</f>
        <v>#VALUE!</v>
      </c>
      <c r="GV11">
        <f>IF(List1!295:295,"AAAAAD/J98s=",0)</f>
        <v>0</v>
      </c>
      <c r="GW11" t="e">
        <f>AND(List1!A297,"AAAAAD/J98w=")</f>
        <v>#VALUE!</v>
      </c>
      <c r="GX11" t="e">
        <f>AND(List1!B297,"AAAAAD/J980=")</f>
        <v>#VALUE!</v>
      </c>
      <c r="GY11" t="e">
        <f>AND(List1!C297,"AAAAAD/J984=")</f>
        <v>#VALUE!</v>
      </c>
      <c r="GZ11" t="e">
        <f>AND(List1!E297,"AAAAAD/J988=")</f>
        <v>#VALUE!</v>
      </c>
      <c r="HA11" t="e">
        <f>AND(List1!F297,"AAAAAD/J99A=")</f>
        <v>#VALUE!</v>
      </c>
      <c r="HB11" t="e">
        <f>AND(List1!G297,"AAAAAD/J99E=")</f>
        <v>#VALUE!</v>
      </c>
      <c r="HC11" t="e">
        <f>AND(List1!H297,"AAAAAD/J99I=")</f>
        <v>#VALUE!</v>
      </c>
      <c r="HD11" t="e">
        <f>AND(List1!I297,"AAAAAD/J99M=")</f>
        <v>#VALUE!</v>
      </c>
      <c r="HE11">
        <f>IF(List1!296:296,"AAAAAD/J99Q=",0)</f>
        <v>0</v>
      </c>
      <c r="HF11" t="e">
        <f>AND(List1!A298,"AAAAAD/J99U=")</f>
        <v>#VALUE!</v>
      </c>
      <c r="HG11" t="e">
        <f>AND(List1!B298,"AAAAAD/J99Y=")</f>
        <v>#VALUE!</v>
      </c>
      <c r="HH11" t="e">
        <f>AND(List1!C298,"AAAAAD/J99c=")</f>
        <v>#VALUE!</v>
      </c>
      <c r="HI11" t="e">
        <f>AND(List1!E298,"AAAAAD/J99g=")</f>
        <v>#VALUE!</v>
      </c>
      <c r="HJ11" t="e">
        <f>AND(List1!F298,"AAAAAD/J99k=")</f>
        <v>#VALUE!</v>
      </c>
      <c r="HK11" t="e">
        <f>AND(List1!G298,"AAAAAD/J99o=")</f>
        <v>#VALUE!</v>
      </c>
      <c r="HL11" t="e">
        <f>AND(List1!H298,"AAAAAD/J99s=")</f>
        <v>#VALUE!</v>
      </c>
      <c r="HM11" t="e">
        <f>AND(List1!I298,"AAAAAD/J99w=")</f>
        <v>#VALUE!</v>
      </c>
      <c r="HN11">
        <f>IF(List1!297:297,"AAAAAD/J990=",0)</f>
        <v>0</v>
      </c>
      <c r="HO11" t="e">
        <f>AND(List1!A299,"AAAAAD/J994=")</f>
        <v>#VALUE!</v>
      </c>
      <c r="HP11" t="e">
        <f>AND(List1!B299,"AAAAAD/J998=")</f>
        <v>#VALUE!</v>
      </c>
      <c r="HQ11" t="e">
        <f>AND(List1!C299,"AAAAAD/J9+A=")</f>
        <v>#VALUE!</v>
      </c>
      <c r="HR11" t="e">
        <f>AND(List1!E299,"AAAAAD/J9+E=")</f>
        <v>#VALUE!</v>
      </c>
      <c r="HS11" t="e">
        <f>AND(List1!F299,"AAAAAD/J9+I=")</f>
        <v>#VALUE!</v>
      </c>
      <c r="HT11" t="e">
        <f>AND(List1!G299,"AAAAAD/J9+M=")</f>
        <v>#VALUE!</v>
      </c>
      <c r="HU11" t="e">
        <f>AND(List1!H299,"AAAAAD/J9+Q=")</f>
        <v>#VALUE!</v>
      </c>
      <c r="HV11" t="e">
        <f>AND(List1!I299,"AAAAAD/J9+U=")</f>
        <v>#VALUE!</v>
      </c>
      <c r="HW11">
        <f>IF(List1!298:298,"AAAAAD/J9+Y=",0)</f>
        <v>0</v>
      </c>
      <c r="HX11" t="e">
        <f>AND(List1!A300,"AAAAAD/J9+c=")</f>
        <v>#VALUE!</v>
      </c>
      <c r="HY11" t="e">
        <f>AND(List1!B300,"AAAAAD/J9+g=")</f>
        <v>#VALUE!</v>
      </c>
      <c r="HZ11" t="e">
        <f>AND(List1!C300,"AAAAAD/J9+k=")</f>
        <v>#VALUE!</v>
      </c>
      <c r="IA11" t="e">
        <f>AND(List1!E300,"AAAAAD/J9+o=")</f>
        <v>#VALUE!</v>
      </c>
      <c r="IB11" t="e">
        <f>AND(List1!F300,"AAAAAD/J9+s=")</f>
        <v>#VALUE!</v>
      </c>
      <c r="IC11" t="e">
        <f>AND(List1!G300,"AAAAAD/J9+w=")</f>
        <v>#VALUE!</v>
      </c>
      <c r="ID11" t="e">
        <f>AND(List1!H300,"AAAAAD/J9+0=")</f>
        <v>#VALUE!</v>
      </c>
      <c r="IE11" t="e">
        <f>AND(List1!I300,"AAAAAD/J9+4=")</f>
        <v>#VALUE!</v>
      </c>
      <c r="IF11">
        <f>IF(List1!299:299,"AAAAAD/J9+8=",0)</f>
        <v>0</v>
      </c>
      <c r="IG11" t="e">
        <f>AND(List1!A301,"AAAAAD/J9/A=")</f>
        <v>#VALUE!</v>
      </c>
      <c r="IH11" t="e">
        <f>AND(List1!B301,"AAAAAD/J9/E=")</f>
        <v>#VALUE!</v>
      </c>
      <c r="II11" t="e">
        <f>AND(List1!C301,"AAAAAD/J9/I=")</f>
        <v>#VALUE!</v>
      </c>
      <c r="IJ11" t="e">
        <f>AND(List1!E301,"AAAAAD/J9/M=")</f>
        <v>#VALUE!</v>
      </c>
      <c r="IK11" t="e">
        <f>AND(List1!F301,"AAAAAD/J9/Q=")</f>
        <v>#VALUE!</v>
      </c>
      <c r="IL11" t="e">
        <f>AND(List1!G301,"AAAAAD/J9/U=")</f>
        <v>#VALUE!</v>
      </c>
      <c r="IM11" t="e">
        <f>AND(List1!H301,"AAAAAD/J9/Y=")</f>
        <v>#VALUE!</v>
      </c>
      <c r="IN11" t="e">
        <f>AND(List1!I301,"AAAAAD/J9/c=")</f>
        <v>#VALUE!</v>
      </c>
      <c r="IO11">
        <f>IF(List1!300:300,"AAAAAD/J9/g=",0)</f>
        <v>0</v>
      </c>
      <c r="IP11" t="e">
        <f>AND(List1!A302,"AAAAAD/J9/k=")</f>
        <v>#VALUE!</v>
      </c>
      <c r="IQ11" t="e">
        <f>AND(List1!B302,"AAAAAD/J9/o=")</f>
        <v>#VALUE!</v>
      </c>
      <c r="IR11" t="e">
        <f>AND(List1!C302,"AAAAAD/J9/s=")</f>
        <v>#VALUE!</v>
      </c>
      <c r="IS11" t="e">
        <f>AND(List1!E302,"AAAAAD/J9/w=")</f>
        <v>#VALUE!</v>
      </c>
      <c r="IT11" t="e">
        <f>AND(List1!F302,"AAAAAD/J9/0=")</f>
        <v>#VALUE!</v>
      </c>
      <c r="IU11" t="e">
        <f>AND(List1!G302,"AAAAAD/J9/4=")</f>
        <v>#VALUE!</v>
      </c>
      <c r="IV11" t="e">
        <f>AND(List1!H302,"AAAAAD/J9/8=")</f>
        <v>#VALUE!</v>
      </c>
    </row>
    <row r="12" spans="1:256" ht="12.75">
      <c r="A12" t="e">
        <f>AND(List1!I302,"AAAAAFHdnQA=")</f>
        <v>#VALUE!</v>
      </c>
      <c r="B12" t="e">
        <f>IF(List1!301:301,"AAAAAFHdnQE=",0)</f>
        <v>#VALUE!</v>
      </c>
      <c r="C12" t="e">
        <f>AND(List1!A303,"AAAAAFHdnQI=")</f>
        <v>#VALUE!</v>
      </c>
      <c r="D12" t="e">
        <f>AND(List1!B303,"AAAAAFHdnQM=")</f>
        <v>#VALUE!</v>
      </c>
      <c r="E12" t="e">
        <f>AND(List1!C303,"AAAAAFHdnQQ=")</f>
        <v>#VALUE!</v>
      </c>
      <c r="F12" t="e">
        <f>AND(List1!E303,"AAAAAFHdnQU=")</f>
        <v>#VALUE!</v>
      </c>
      <c r="G12" t="e">
        <f>AND(List1!F303,"AAAAAFHdnQY=")</f>
        <v>#VALUE!</v>
      </c>
      <c r="H12" t="e">
        <f>AND(List1!G303,"AAAAAFHdnQc=")</f>
        <v>#VALUE!</v>
      </c>
      <c r="I12" t="e">
        <f>AND(List1!H303,"AAAAAFHdnQg=")</f>
        <v>#VALUE!</v>
      </c>
      <c r="J12" t="e">
        <f>AND(List1!I303,"AAAAAFHdnQk=")</f>
        <v>#VALUE!</v>
      </c>
      <c r="K12">
        <f>IF(List1!302:302,"AAAAAFHdnQo=",0)</f>
        <v>0</v>
      </c>
      <c r="L12" t="e">
        <f>AND(List1!A304,"AAAAAFHdnQs=")</f>
        <v>#VALUE!</v>
      </c>
      <c r="M12" t="e">
        <f>AND(List1!B304,"AAAAAFHdnQw=")</f>
        <v>#VALUE!</v>
      </c>
      <c r="N12" t="e">
        <f>AND(List1!C304,"AAAAAFHdnQ0=")</f>
        <v>#VALUE!</v>
      </c>
      <c r="O12" t="e">
        <f>AND(List1!E304,"AAAAAFHdnQ4=")</f>
        <v>#VALUE!</v>
      </c>
      <c r="P12" t="e">
        <f>AND(List1!F304,"AAAAAFHdnQ8=")</f>
        <v>#VALUE!</v>
      </c>
      <c r="Q12" t="e">
        <f>AND(List1!G304,"AAAAAFHdnRA=")</f>
        <v>#VALUE!</v>
      </c>
      <c r="R12" t="e">
        <f>AND(List1!H304,"AAAAAFHdnRE=")</f>
        <v>#VALUE!</v>
      </c>
      <c r="S12" t="e">
        <f>AND(List1!I304,"AAAAAFHdnRI=")</f>
        <v>#VALUE!</v>
      </c>
      <c r="T12">
        <f>IF(List1!303:303,"AAAAAFHdnRM=",0)</f>
        <v>0</v>
      </c>
      <c r="U12" t="e">
        <f>AND(List1!A305,"AAAAAFHdnRQ=")</f>
        <v>#VALUE!</v>
      </c>
      <c r="V12" t="e">
        <f>AND(List1!B305,"AAAAAFHdnRU=")</f>
        <v>#VALUE!</v>
      </c>
      <c r="W12" t="e">
        <f>AND(List1!C305,"AAAAAFHdnRY=")</f>
        <v>#VALUE!</v>
      </c>
      <c r="X12" t="e">
        <f>AND(List1!E305,"AAAAAFHdnRc=")</f>
        <v>#VALUE!</v>
      </c>
      <c r="Y12" t="e">
        <f>AND(List1!F305,"AAAAAFHdnRg=")</f>
        <v>#VALUE!</v>
      </c>
      <c r="Z12" t="e">
        <f>AND(List1!G305,"AAAAAFHdnRk=")</f>
        <v>#VALUE!</v>
      </c>
      <c r="AA12" t="e">
        <f>AND(List1!H305,"AAAAAFHdnRo=")</f>
        <v>#VALUE!</v>
      </c>
      <c r="AB12" t="e">
        <f>AND(List1!I305,"AAAAAFHdnRs=")</f>
        <v>#VALUE!</v>
      </c>
      <c r="AC12">
        <f>IF(List1!304:304,"AAAAAFHdnRw=",0)</f>
        <v>0</v>
      </c>
      <c r="AD12" t="e">
        <f>AND(List1!A306,"AAAAAFHdnR0=")</f>
        <v>#VALUE!</v>
      </c>
      <c r="AE12" t="e">
        <f>AND(List1!B306,"AAAAAFHdnR4=")</f>
        <v>#VALUE!</v>
      </c>
      <c r="AF12" t="e">
        <f>AND(List1!C306,"AAAAAFHdnR8=")</f>
        <v>#VALUE!</v>
      </c>
      <c r="AG12" t="e">
        <f>AND(List1!E306,"AAAAAFHdnSA=")</f>
        <v>#VALUE!</v>
      </c>
      <c r="AH12" t="e">
        <f>AND(List1!F306,"AAAAAFHdnSE=")</f>
        <v>#VALUE!</v>
      </c>
      <c r="AI12" t="e">
        <f>AND(List1!G306,"AAAAAFHdnSI=")</f>
        <v>#VALUE!</v>
      </c>
      <c r="AJ12" t="e">
        <f>AND(List1!H306,"AAAAAFHdnSM=")</f>
        <v>#VALUE!</v>
      </c>
      <c r="AK12" t="e">
        <f>AND(List1!I306,"AAAAAFHdnSQ=")</f>
        <v>#VALUE!</v>
      </c>
      <c r="AL12">
        <f>IF(List1!305:305,"AAAAAFHdnSU=",0)</f>
        <v>0</v>
      </c>
      <c r="AM12" t="e">
        <f>AND(List1!A307,"AAAAAFHdnSY=")</f>
        <v>#VALUE!</v>
      </c>
      <c r="AN12" t="e">
        <f>AND(List1!B307,"AAAAAFHdnSc=")</f>
        <v>#VALUE!</v>
      </c>
      <c r="AO12" t="e">
        <f>AND(List1!C307,"AAAAAFHdnSg=")</f>
        <v>#VALUE!</v>
      </c>
      <c r="AP12" t="e">
        <f>AND(List1!E307,"AAAAAFHdnSk=")</f>
        <v>#VALUE!</v>
      </c>
      <c r="AQ12" t="e">
        <f>AND(List1!F307,"AAAAAFHdnSo=")</f>
        <v>#VALUE!</v>
      </c>
      <c r="AR12" t="e">
        <f>AND(List1!G307,"AAAAAFHdnSs=")</f>
        <v>#VALUE!</v>
      </c>
      <c r="AS12" t="e">
        <f>AND(List1!H307,"AAAAAFHdnSw=")</f>
        <v>#VALUE!</v>
      </c>
      <c r="AT12" t="e">
        <f>AND(List1!I307,"AAAAAFHdnS0=")</f>
        <v>#VALUE!</v>
      </c>
      <c r="AU12">
        <f>IF(List1!306:306,"AAAAAFHdnS4=",0)</f>
        <v>0</v>
      </c>
      <c r="AV12" t="e">
        <f>AND(List1!A308,"AAAAAFHdnS8=")</f>
        <v>#VALUE!</v>
      </c>
      <c r="AW12" t="e">
        <f>AND(List1!B308,"AAAAAFHdnTA=")</f>
        <v>#VALUE!</v>
      </c>
      <c r="AX12" t="e">
        <f>AND(List1!C308,"AAAAAFHdnTE=")</f>
        <v>#VALUE!</v>
      </c>
      <c r="AY12" t="e">
        <f>AND(List1!E308,"AAAAAFHdnTI=")</f>
        <v>#VALUE!</v>
      </c>
      <c r="AZ12" t="e">
        <f>AND(List1!F308,"AAAAAFHdnTM=")</f>
        <v>#VALUE!</v>
      </c>
      <c r="BA12" t="e">
        <f>AND(List1!G308,"AAAAAFHdnTQ=")</f>
        <v>#VALUE!</v>
      </c>
      <c r="BB12" t="e">
        <f>AND(List1!H308,"AAAAAFHdnTU=")</f>
        <v>#VALUE!</v>
      </c>
      <c r="BC12" t="e">
        <f>AND(List1!I308,"AAAAAFHdnTY=")</f>
        <v>#VALUE!</v>
      </c>
      <c r="BD12">
        <f>IF(List1!307:307,"AAAAAFHdnTc=",0)</f>
        <v>0</v>
      </c>
      <c r="BE12" t="e">
        <f>AND(List1!A309,"AAAAAFHdnTg=")</f>
        <v>#VALUE!</v>
      </c>
      <c r="BF12" t="e">
        <f>AND(List1!B309,"AAAAAFHdnTk=")</f>
        <v>#VALUE!</v>
      </c>
      <c r="BG12" t="e">
        <f>AND(List1!C309,"AAAAAFHdnTo=")</f>
        <v>#VALUE!</v>
      </c>
      <c r="BH12" t="e">
        <f>AND(List1!E309,"AAAAAFHdnTs=")</f>
        <v>#VALUE!</v>
      </c>
      <c r="BI12" t="e">
        <f>AND(List1!F309,"AAAAAFHdnTw=")</f>
        <v>#VALUE!</v>
      </c>
      <c r="BJ12" t="e">
        <f>AND(List1!G309,"AAAAAFHdnT0=")</f>
        <v>#VALUE!</v>
      </c>
      <c r="BK12" t="e">
        <f>AND(List1!H309,"AAAAAFHdnT4=")</f>
        <v>#VALUE!</v>
      </c>
      <c r="BL12" t="e">
        <f>AND(List1!I309,"AAAAAFHdnT8=")</f>
        <v>#VALUE!</v>
      </c>
      <c r="BM12">
        <f>IF(List1!308:308,"AAAAAFHdnUA=",0)</f>
        <v>0</v>
      </c>
      <c r="BN12" t="e">
        <f>AND(List1!A310,"AAAAAFHdnUE=")</f>
        <v>#VALUE!</v>
      </c>
      <c r="BO12" t="e">
        <f>AND(List1!B310,"AAAAAFHdnUI=")</f>
        <v>#VALUE!</v>
      </c>
      <c r="BP12" t="e">
        <f>AND(List1!C310,"AAAAAFHdnUM=")</f>
        <v>#VALUE!</v>
      </c>
      <c r="BQ12" t="e">
        <f>AND(List1!E310,"AAAAAFHdnUQ=")</f>
        <v>#VALUE!</v>
      </c>
      <c r="BR12" t="e">
        <f>AND(List1!F310,"AAAAAFHdnUU=")</f>
        <v>#VALUE!</v>
      </c>
      <c r="BS12" t="e">
        <f>AND(List1!G310,"AAAAAFHdnUY=")</f>
        <v>#VALUE!</v>
      </c>
      <c r="BT12" t="e">
        <f>AND(List1!H310,"AAAAAFHdnUc=")</f>
        <v>#VALUE!</v>
      </c>
      <c r="BU12" t="e">
        <f>AND(List1!I310,"AAAAAFHdnUg=")</f>
        <v>#VALUE!</v>
      </c>
      <c r="BV12">
        <f>IF(List1!309:309,"AAAAAFHdnUk=",0)</f>
        <v>0</v>
      </c>
      <c r="BW12" t="e">
        <f>AND(List1!A311,"AAAAAFHdnUo=")</f>
        <v>#VALUE!</v>
      </c>
      <c r="BX12" t="e">
        <f>AND(List1!B311,"AAAAAFHdnUs=")</f>
        <v>#VALUE!</v>
      </c>
      <c r="BY12" t="e">
        <f>AND(List1!C311,"AAAAAFHdnUw=")</f>
        <v>#VALUE!</v>
      </c>
      <c r="BZ12" t="e">
        <f>AND(List1!E311,"AAAAAFHdnU0=")</f>
        <v>#VALUE!</v>
      </c>
      <c r="CA12" t="e">
        <f>AND(List1!F311,"AAAAAFHdnU4=")</f>
        <v>#VALUE!</v>
      </c>
      <c r="CB12" t="e">
        <f>AND(List1!G311,"AAAAAFHdnU8=")</f>
        <v>#VALUE!</v>
      </c>
      <c r="CC12" t="e">
        <f>AND(List1!H311,"AAAAAFHdnVA=")</f>
        <v>#VALUE!</v>
      </c>
      <c r="CD12" t="e">
        <f>AND(List1!I311,"AAAAAFHdnVE=")</f>
        <v>#VALUE!</v>
      </c>
      <c r="CE12">
        <f>IF(List1!310:310,"AAAAAFHdnVI=",0)</f>
        <v>0</v>
      </c>
      <c r="CF12" t="e">
        <f>AND(List1!A312,"AAAAAFHdnVM=")</f>
        <v>#VALUE!</v>
      </c>
      <c r="CG12" t="e">
        <f>AND(List1!B312,"AAAAAFHdnVQ=")</f>
        <v>#VALUE!</v>
      </c>
      <c r="CH12" t="e">
        <f>AND(List1!C312,"AAAAAFHdnVU=")</f>
        <v>#VALUE!</v>
      </c>
      <c r="CI12" t="e">
        <f>AND(List1!E312,"AAAAAFHdnVY=")</f>
        <v>#VALUE!</v>
      </c>
      <c r="CJ12" t="e">
        <f>AND(List1!F312,"AAAAAFHdnVc=")</f>
        <v>#VALUE!</v>
      </c>
      <c r="CK12" t="e">
        <f>AND(List1!G312,"AAAAAFHdnVg=")</f>
        <v>#VALUE!</v>
      </c>
      <c r="CL12" t="e">
        <f>AND(List1!H312,"AAAAAFHdnVk=")</f>
        <v>#VALUE!</v>
      </c>
      <c r="CM12" t="e">
        <f>AND(List1!I312,"AAAAAFHdnVo=")</f>
        <v>#VALUE!</v>
      </c>
      <c r="CN12">
        <f>IF(List1!311:311,"AAAAAFHdnVs=",0)</f>
        <v>0</v>
      </c>
      <c r="CO12" t="e">
        <f>AND(List1!A313,"AAAAAFHdnVw=")</f>
        <v>#VALUE!</v>
      </c>
      <c r="CP12" t="e">
        <f>AND(List1!B313,"AAAAAFHdnV0=")</f>
        <v>#VALUE!</v>
      </c>
      <c r="CQ12" t="e">
        <f>AND(List1!C313,"AAAAAFHdnV4=")</f>
        <v>#VALUE!</v>
      </c>
      <c r="CR12" t="e">
        <f>AND(List1!E313,"AAAAAFHdnV8=")</f>
        <v>#VALUE!</v>
      </c>
      <c r="CS12" t="e">
        <f>AND(List1!F313,"AAAAAFHdnWA=")</f>
        <v>#VALUE!</v>
      </c>
      <c r="CT12" t="e">
        <f>AND(List1!G313,"AAAAAFHdnWE=")</f>
        <v>#VALUE!</v>
      </c>
      <c r="CU12" t="e">
        <f>AND(List1!H313,"AAAAAFHdnWI=")</f>
        <v>#VALUE!</v>
      </c>
      <c r="CV12" t="e">
        <f>AND(List1!I313,"AAAAAFHdnWM=")</f>
        <v>#VALUE!</v>
      </c>
      <c r="CW12">
        <f>IF(List1!312:312,"AAAAAFHdnWQ=",0)</f>
        <v>0</v>
      </c>
      <c r="CX12" t="e">
        <f>AND(List1!A314,"AAAAAFHdnWU=")</f>
        <v>#VALUE!</v>
      </c>
      <c r="CY12" t="e">
        <f>AND(List1!B314,"AAAAAFHdnWY=")</f>
        <v>#VALUE!</v>
      </c>
      <c r="CZ12" t="e">
        <f>AND(List1!C314,"AAAAAFHdnWc=")</f>
        <v>#VALUE!</v>
      </c>
      <c r="DA12" t="e">
        <f>AND(List1!E314,"AAAAAFHdnWg=")</f>
        <v>#VALUE!</v>
      </c>
      <c r="DB12" t="e">
        <f>AND(List1!F314,"AAAAAFHdnWk=")</f>
        <v>#VALUE!</v>
      </c>
      <c r="DC12" t="e">
        <f>AND(List1!G314,"AAAAAFHdnWo=")</f>
        <v>#VALUE!</v>
      </c>
      <c r="DD12" t="e">
        <f>AND(List1!H314,"AAAAAFHdnWs=")</f>
        <v>#VALUE!</v>
      </c>
      <c r="DE12" t="e">
        <f>AND(List1!I314,"AAAAAFHdnWw=")</f>
        <v>#VALUE!</v>
      </c>
      <c r="DF12">
        <f>IF(List1!313:313,"AAAAAFHdnW0=",0)</f>
        <v>0</v>
      </c>
      <c r="DG12" t="e">
        <f>AND(List1!A315,"AAAAAFHdnW4=")</f>
        <v>#VALUE!</v>
      </c>
      <c r="DH12" t="e">
        <f>AND(List1!B315,"AAAAAFHdnW8=")</f>
        <v>#VALUE!</v>
      </c>
      <c r="DI12" t="e">
        <f>AND(List1!C315,"AAAAAFHdnXA=")</f>
        <v>#VALUE!</v>
      </c>
      <c r="DJ12" t="e">
        <f>AND(List1!E315,"AAAAAFHdnXE=")</f>
        <v>#VALUE!</v>
      </c>
      <c r="DK12" t="e">
        <f>AND(List1!F315,"AAAAAFHdnXI=")</f>
        <v>#VALUE!</v>
      </c>
      <c r="DL12" t="e">
        <f>AND(List1!G315,"AAAAAFHdnXM=")</f>
        <v>#VALUE!</v>
      </c>
      <c r="DM12" t="e">
        <f>AND(List1!H315,"AAAAAFHdnXQ=")</f>
        <v>#VALUE!</v>
      </c>
      <c r="DN12" t="e">
        <f>AND(List1!I315,"AAAAAFHdnXU=")</f>
        <v>#VALUE!</v>
      </c>
      <c r="DO12">
        <f>IF(List1!314:314,"AAAAAFHdnXY=",0)</f>
        <v>0</v>
      </c>
      <c r="DP12" t="e">
        <f>AND(List1!A316,"AAAAAFHdnXc=")</f>
        <v>#VALUE!</v>
      </c>
      <c r="DQ12" t="e">
        <f>AND(List1!B316,"AAAAAFHdnXg=")</f>
        <v>#VALUE!</v>
      </c>
      <c r="DR12" t="e">
        <f>AND(List1!C316,"AAAAAFHdnXk=")</f>
        <v>#VALUE!</v>
      </c>
      <c r="DS12" t="e">
        <f>AND(List1!E316,"AAAAAFHdnXo=")</f>
        <v>#VALUE!</v>
      </c>
      <c r="DT12" t="e">
        <f>AND(List1!F316,"AAAAAFHdnXs=")</f>
        <v>#VALUE!</v>
      </c>
      <c r="DU12" t="e">
        <f>AND(List1!G316,"AAAAAFHdnXw=")</f>
        <v>#VALUE!</v>
      </c>
      <c r="DV12" t="e">
        <f>AND(List1!H316,"AAAAAFHdnX0=")</f>
        <v>#VALUE!</v>
      </c>
      <c r="DW12" t="e">
        <f>AND(List1!I316,"AAAAAFHdnX4=")</f>
        <v>#VALUE!</v>
      </c>
      <c r="DX12">
        <f>IF(List1!315:315,"AAAAAFHdnX8=",0)</f>
        <v>0</v>
      </c>
      <c r="DY12" t="e">
        <f>AND(List1!A319,"AAAAAFHdnYA=")</f>
        <v>#VALUE!</v>
      </c>
      <c r="DZ12" t="e">
        <f>AND(List1!B319,"AAAAAFHdnYE=")</f>
        <v>#VALUE!</v>
      </c>
      <c r="EA12" t="e">
        <f>AND(List1!C319,"AAAAAFHdnYI=")</f>
        <v>#VALUE!</v>
      </c>
      <c r="EB12" t="e">
        <f>AND(List1!E319,"AAAAAFHdnYM=")</f>
        <v>#VALUE!</v>
      </c>
      <c r="EC12" t="e">
        <f>AND(List1!F319,"AAAAAFHdnYQ=")</f>
        <v>#VALUE!</v>
      </c>
      <c r="ED12" t="e">
        <f>AND(List1!G319,"AAAAAFHdnYU=")</f>
        <v>#VALUE!</v>
      </c>
      <c r="EE12" t="e">
        <f>AND(List1!H319,"AAAAAFHdnYY=")</f>
        <v>#VALUE!</v>
      </c>
      <c r="EF12" t="e">
        <f>AND(List1!I319,"AAAAAFHdnYc=")</f>
        <v>#VALUE!</v>
      </c>
      <c r="EG12">
        <f>IF(List1!316:316,"AAAAAFHdnYg=",0)</f>
        <v>0</v>
      </c>
      <c r="EH12" t="e">
        <f>AND(List1!A320,"AAAAAFHdnYk=")</f>
        <v>#VALUE!</v>
      </c>
      <c r="EI12" t="e">
        <f>AND(List1!B320,"AAAAAFHdnYo=")</f>
        <v>#VALUE!</v>
      </c>
      <c r="EJ12" t="e">
        <f>AND(List1!C320,"AAAAAFHdnYs=")</f>
        <v>#VALUE!</v>
      </c>
      <c r="EK12" t="e">
        <f>AND(List1!E320,"AAAAAFHdnYw=")</f>
        <v>#VALUE!</v>
      </c>
      <c r="EL12" t="e">
        <f>AND(List1!F320,"AAAAAFHdnY0=")</f>
        <v>#VALUE!</v>
      </c>
      <c r="EM12" t="e">
        <f>AND(List1!G320,"AAAAAFHdnY4=")</f>
        <v>#VALUE!</v>
      </c>
      <c r="EN12" t="e">
        <f>AND(List1!H320,"AAAAAFHdnY8=")</f>
        <v>#VALUE!</v>
      </c>
      <c r="EO12" t="e">
        <f>AND(List1!I320,"AAAAAFHdnZA=")</f>
        <v>#VALUE!</v>
      </c>
      <c r="EP12">
        <f>IF(List1!319:319,"AAAAAFHdnZE=",0)</f>
        <v>0</v>
      </c>
      <c r="EQ12" t="e">
        <f>AND(List1!A321,"AAAAAFHdnZI=")</f>
        <v>#VALUE!</v>
      </c>
      <c r="ER12" t="e">
        <f>AND(List1!B321,"AAAAAFHdnZM=")</f>
        <v>#VALUE!</v>
      </c>
      <c r="ES12" t="e">
        <f>AND(List1!C321,"AAAAAFHdnZQ=")</f>
        <v>#VALUE!</v>
      </c>
      <c r="ET12" t="e">
        <f>AND(List1!E321,"AAAAAFHdnZU=")</f>
        <v>#VALUE!</v>
      </c>
      <c r="EU12" t="e">
        <f>AND(List1!F321,"AAAAAFHdnZY=")</f>
        <v>#VALUE!</v>
      </c>
      <c r="EV12" t="e">
        <f>AND(List1!G321,"AAAAAFHdnZc=")</f>
        <v>#VALUE!</v>
      </c>
      <c r="EW12" t="e">
        <f>AND(List1!H321,"AAAAAFHdnZg=")</f>
        <v>#VALUE!</v>
      </c>
      <c r="EX12" t="e">
        <f>AND(List1!I321,"AAAAAFHdnZk=")</f>
        <v>#VALUE!</v>
      </c>
      <c r="EY12">
        <f>IF(List1!320:320,"AAAAAFHdnZo=",0)</f>
        <v>0</v>
      </c>
      <c r="EZ12" t="e">
        <f>AND(List1!A322,"AAAAAFHdnZs=")</f>
        <v>#VALUE!</v>
      </c>
      <c r="FA12" t="e">
        <f>AND(List1!B322,"AAAAAFHdnZw=")</f>
        <v>#VALUE!</v>
      </c>
      <c r="FB12" t="e">
        <f>AND(List1!C322,"AAAAAFHdnZ0=")</f>
        <v>#VALUE!</v>
      </c>
      <c r="FC12" t="e">
        <f>AND(List1!E322,"AAAAAFHdnZ4=")</f>
        <v>#VALUE!</v>
      </c>
      <c r="FD12" t="e">
        <f>AND(List1!F322,"AAAAAFHdnZ8=")</f>
        <v>#VALUE!</v>
      </c>
      <c r="FE12" t="e">
        <f>AND(List1!G322,"AAAAAFHdnaA=")</f>
        <v>#VALUE!</v>
      </c>
      <c r="FF12" t="e">
        <f>AND(List1!H322,"AAAAAFHdnaE=")</f>
        <v>#VALUE!</v>
      </c>
      <c r="FG12" t="e">
        <f>AND(List1!I322,"AAAAAFHdnaI=")</f>
        <v>#VALUE!</v>
      </c>
      <c r="FH12">
        <f>IF(List1!321:321,"AAAAAFHdnaM=",0)</f>
        <v>0</v>
      </c>
      <c r="FI12" t="e">
        <f>AND(List1!A323,"AAAAAFHdnaQ=")</f>
        <v>#VALUE!</v>
      </c>
      <c r="FJ12" t="e">
        <f>AND(List1!B323,"AAAAAFHdnaU=")</f>
        <v>#VALUE!</v>
      </c>
      <c r="FK12" t="e">
        <f>AND(List1!C323,"AAAAAFHdnaY=")</f>
        <v>#VALUE!</v>
      </c>
      <c r="FL12" t="e">
        <f>AND(List1!E323,"AAAAAFHdnac=")</f>
        <v>#VALUE!</v>
      </c>
      <c r="FM12" t="e">
        <f>AND(List1!F323,"AAAAAFHdnag=")</f>
        <v>#VALUE!</v>
      </c>
      <c r="FN12" t="e">
        <f>AND(List1!G323,"AAAAAFHdnak=")</f>
        <v>#VALUE!</v>
      </c>
      <c r="FO12" t="e">
        <f>AND(List1!H323,"AAAAAFHdnao=")</f>
        <v>#VALUE!</v>
      </c>
      <c r="FP12" t="e">
        <f>AND(List1!I323,"AAAAAFHdnas=")</f>
        <v>#VALUE!</v>
      </c>
      <c r="FQ12">
        <f>IF(List1!322:322,"AAAAAFHdnaw=",0)</f>
        <v>0</v>
      </c>
      <c r="FR12" t="e">
        <f>AND(List1!A324,"AAAAAFHdna0=")</f>
        <v>#VALUE!</v>
      </c>
      <c r="FS12" t="e">
        <f>AND(List1!B324,"AAAAAFHdna4=")</f>
        <v>#VALUE!</v>
      </c>
      <c r="FT12" t="e">
        <f>AND(List1!C324,"AAAAAFHdna8=")</f>
        <v>#VALUE!</v>
      </c>
      <c r="FU12" t="e">
        <f>AND(List1!E324,"AAAAAFHdnbA=")</f>
        <v>#VALUE!</v>
      </c>
      <c r="FV12" t="e">
        <f>AND(List1!F324,"AAAAAFHdnbE=")</f>
        <v>#VALUE!</v>
      </c>
      <c r="FW12" t="e">
        <f>AND(List1!G324,"AAAAAFHdnbI=")</f>
        <v>#VALUE!</v>
      </c>
      <c r="FX12" t="e">
        <f>AND(List1!H324,"AAAAAFHdnbM=")</f>
        <v>#VALUE!</v>
      </c>
      <c r="FY12" t="e">
        <f>AND(List1!I324,"AAAAAFHdnbQ=")</f>
        <v>#VALUE!</v>
      </c>
      <c r="FZ12">
        <f>IF(List1!323:323,"AAAAAFHdnbU=",0)</f>
        <v>0</v>
      </c>
      <c r="GA12" t="e">
        <f>AND(List1!A325,"AAAAAFHdnbY=")</f>
        <v>#VALUE!</v>
      </c>
      <c r="GB12" t="e">
        <f>AND(List1!B325,"AAAAAFHdnbc=")</f>
        <v>#VALUE!</v>
      </c>
      <c r="GC12" t="e">
        <f>AND(List1!C325,"AAAAAFHdnbg=")</f>
        <v>#VALUE!</v>
      </c>
      <c r="GD12" t="e">
        <f>AND(List1!E325,"AAAAAFHdnbk=")</f>
        <v>#VALUE!</v>
      </c>
      <c r="GE12" t="e">
        <f>AND(List1!F325,"AAAAAFHdnbo=")</f>
        <v>#VALUE!</v>
      </c>
      <c r="GF12" t="e">
        <f>AND(List1!G325,"AAAAAFHdnbs=")</f>
        <v>#VALUE!</v>
      </c>
      <c r="GG12" t="e">
        <f>AND(List1!H325,"AAAAAFHdnbw=")</f>
        <v>#VALUE!</v>
      </c>
      <c r="GH12" t="e">
        <f>AND(List1!I325,"AAAAAFHdnb0=")</f>
        <v>#VALUE!</v>
      </c>
      <c r="GI12">
        <f>IF(List1!324:324,"AAAAAFHdnb4=",0)</f>
        <v>0</v>
      </c>
      <c r="GJ12" t="e">
        <f>AND(List1!A326,"AAAAAFHdnb8=")</f>
        <v>#VALUE!</v>
      </c>
      <c r="GK12" t="e">
        <f>AND(List1!B326,"AAAAAFHdncA=")</f>
        <v>#VALUE!</v>
      </c>
      <c r="GL12" t="e">
        <f>AND(List1!C326,"AAAAAFHdncE=")</f>
        <v>#VALUE!</v>
      </c>
      <c r="GM12" t="e">
        <f>AND(List1!E326,"AAAAAFHdncI=")</f>
        <v>#VALUE!</v>
      </c>
      <c r="GN12" t="e">
        <f>AND(List1!F326,"AAAAAFHdncM=")</f>
        <v>#VALUE!</v>
      </c>
      <c r="GO12" t="e">
        <f>AND(List1!G326,"AAAAAFHdncQ=")</f>
        <v>#VALUE!</v>
      </c>
      <c r="GP12" t="e">
        <f>AND(List1!H326,"AAAAAFHdncU=")</f>
        <v>#VALUE!</v>
      </c>
      <c r="GQ12" t="e">
        <f>AND(List1!I326,"AAAAAFHdncY=")</f>
        <v>#VALUE!</v>
      </c>
      <c r="GR12">
        <f>IF(List1!325:325,"AAAAAFHdncc=",0)</f>
        <v>0</v>
      </c>
      <c r="GS12" t="e">
        <f>AND(List1!A327,"AAAAAFHdncg=")</f>
        <v>#VALUE!</v>
      </c>
      <c r="GT12" t="e">
        <f>AND(List1!B327,"AAAAAFHdnck=")</f>
        <v>#VALUE!</v>
      </c>
      <c r="GU12" t="e">
        <f>AND(List1!C327,"AAAAAFHdnco=")</f>
        <v>#VALUE!</v>
      </c>
      <c r="GV12" t="e">
        <f>AND(List1!E327,"AAAAAFHdncs=")</f>
        <v>#VALUE!</v>
      </c>
      <c r="GW12" t="e">
        <f>AND(List1!F327,"AAAAAFHdncw=")</f>
        <v>#VALUE!</v>
      </c>
      <c r="GX12" t="e">
        <f>AND(List1!G327,"AAAAAFHdnc0=")</f>
        <v>#VALUE!</v>
      </c>
      <c r="GY12" t="e">
        <f>AND(List1!H327,"AAAAAFHdnc4=")</f>
        <v>#VALUE!</v>
      </c>
      <c r="GZ12" t="e">
        <f>AND(List1!I327,"AAAAAFHdnc8=")</f>
        <v>#VALUE!</v>
      </c>
      <c r="HA12">
        <f>IF(List1!326:326,"AAAAAFHdndA=",0)</f>
        <v>0</v>
      </c>
      <c r="HB12" t="e">
        <f>AND(List1!A328,"AAAAAFHdndE=")</f>
        <v>#VALUE!</v>
      </c>
      <c r="HC12" t="e">
        <f>AND(List1!B328,"AAAAAFHdndI=")</f>
        <v>#VALUE!</v>
      </c>
      <c r="HD12" t="e">
        <f>AND(List1!C328,"AAAAAFHdndM=")</f>
        <v>#VALUE!</v>
      </c>
      <c r="HE12" t="e">
        <f>AND(List1!E328,"AAAAAFHdndQ=")</f>
        <v>#VALUE!</v>
      </c>
      <c r="HF12" t="e">
        <f>AND(List1!F328,"AAAAAFHdndU=")</f>
        <v>#VALUE!</v>
      </c>
      <c r="HG12" t="e">
        <f>AND(List1!G328,"AAAAAFHdndY=")</f>
        <v>#VALUE!</v>
      </c>
      <c r="HH12" t="e">
        <f>AND(List1!H328,"AAAAAFHdndc=")</f>
        <v>#VALUE!</v>
      </c>
      <c r="HI12" t="e">
        <f>AND(List1!I328,"AAAAAFHdndg=")</f>
        <v>#VALUE!</v>
      </c>
      <c r="HJ12">
        <f>IF(List1!327:327,"AAAAAFHdndk=",0)</f>
        <v>0</v>
      </c>
      <c r="HK12" t="e">
        <f>AND(List1!A329,"AAAAAFHdndo=")</f>
        <v>#VALUE!</v>
      </c>
      <c r="HL12" t="e">
        <f>AND(List1!B329,"AAAAAFHdnds=")</f>
        <v>#VALUE!</v>
      </c>
      <c r="HM12" t="e">
        <f>AND(List1!C329,"AAAAAFHdndw=")</f>
        <v>#VALUE!</v>
      </c>
      <c r="HN12" t="e">
        <f>AND(List1!E329,"AAAAAFHdnd0=")</f>
        <v>#VALUE!</v>
      </c>
      <c r="HO12" t="e">
        <f>AND(List1!F329,"AAAAAFHdnd4=")</f>
        <v>#VALUE!</v>
      </c>
      <c r="HP12" t="e">
        <f>AND(List1!G329,"AAAAAFHdnd8=")</f>
        <v>#VALUE!</v>
      </c>
      <c r="HQ12" t="e">
        <f>AND(List1!H329,"AAAAAFHdneA=")</f>
        <v>#VALUE!</v>
      </c>
      <c r="HR12" t="e">
        <f>AND(List1!I329,"AAAAAFHdneE=")</f>
        <v>#VALUE!</v>
      </c>
      <c r="HS12">
        <f>IF(List1!328:328,"AAAAAFHdneI=",0)</f>
        <v>0</v>
      </c>
      <c r="HT12" t="e">
        <f>AND(List1!A330,"AAAAAFHdneM=")</f>
        <v>#VALUE!</v>
      </c>
      <c r="HU12" t="e">
        <f>AND(List1!B330,"AAAAAFHdneQ=")</f>
        <v>#VALUE!</v>
      </c>
      <c r="HV12" t="e">
        <f>AND(List1!C330,"AAAAAFHdneU=")</f>
        <v>#VALUE!</v>
      </c>
      <c r="HW12" t="e">
        <f>AND(List1!E330,"AAAAAFHdneY=")</f>
        <v>#VALUE!</v>
      </c>
      <c r="HX12" t="e">
        <f>AND(List1!F330,"AAAAAFHdnec=")</f>
        <v>#VALUE!</v>
      </c>
      <c r="HY12" t="e">
        <f>AND(List1!G330,"AAAAAFHdneg=")</f>
        <v>#VALUE!</v>
      </c>
      <c r="HZ12" t="e">
        <f>AND(List1!H330,"AAAAAFHdnek=")</f>
        <v>#VALUE!</v>
      </c>
      <c r="IA12" t="e">
        <f>AND(List1!I330,"AAAAAFHdneo=")</f>
        <v>#VALUE!</v>
      </c>
      <c r="IB12">
        <f>IF(List1!329:329,"AAAAAFHdnes=",0)</f>
        <v>0</v>
      </c>
      <c r="IC12" t="e">
        <f>AND(List1!A331,"AAAAAFHdnew=")</f>
        <v>#VALUE!</v>
      </c>
      <c r="ID12" t="e">
        <f>AND(List1!B331,"AAAAAFHdne0=")</f>
        <v>#VALUE!</v>
      </c>
      <c r="IE12" t="e">
        <f>AND(List1!C331,"AAAAAFHdne4=")</f>
        <v>#VALUE!</v>
      </c>
      <c r="IF12" t="e">
        <f>AND(List1!E331,"AAAAAFHdne8=")</f>
        <v>#VALUE!</v>
      </c>
      <c r="IG12" t="e">
        <f>AND(List1!F331,"AAAAAFHdnfA=")</f>
        <v>#VALUE!</v>
      </c>
      <c r="IH12" t="e">
        <f>AND(List1!G331,"AAAAAFHdnfE=")</f>
        <v>#VALUE!</v>
      </c>
      <c r="II12" t="e">
        <f>AND(List1!H331,"AAAAAFHdnfI=")</f>
        <v>#VALUE!</v>
      </c>
      <c r="IJ12" t="e">
        <f>AND(List1!I331,"AAAAAFHdnfM=")</f>
        <v>#VALUE!</v>
      </c>
      <c r="IK12">
        <f>IF(List1!330:330,"AAAAAFHdnfQ=",0)</f>
        <v>0</v>
      </c>
      <c r="IL12" t="e">
        <f>AND(List1!A332,"AAAAAFHdnfU=")</f>
        <v>#VALUE!</v>
      </c>
      <c r="IM12" t="e">
        <f>AND(List1!B332,"AAAAAFHdnfY=")</f>
        <v>#VALUE!</v>
      </c>
      <c r="IN12" t="e">
        <f>AND(List1!C332,"AAAAAFHdnfc=")</f>
        <v>#VALUE!</v>
      </c>
      <c r="IO12" t="e">
        <f>AND(List1!E332,"AAAAAFHdnfg=")</f>
        <v>#VALUE!</v>
      </c>
      <c r="IP12" t="e">
        <f>AND(List1!F332,"AAAAAFHdnfk=")</f>
        <v>#VALUE!</v>
      </c>
      <c r="IQ12" t="e">
        <f>AND(List1!G332,"AAAAAFHdnfo=")</f>
        <v>#VALUE!</v>
      </c>
      <c r="IR12" t="e">
        <f>AND(List1!H332,"AAAAAFHdnfs=")</f>
        <v>#VALUE!</v>
      </c>
      <c r="IS12" t="e">
        <f>AND(List1!I332,"AAAAAFHdnfw=")</f>
        <v>#VALUE!</v>
      </c>
      <c r="IT12">
        <f>IF(List1!332:332,"AAAAAFHdnf0=",0)</f>
        <v>0</v>
      </c>
      <c r="IU12" t="e">
        <f>AND(List1!A334,"AAAAAFHdnf4=")</f>
        <v>#VALUE!</v>
      </c>
      <c r="IV12" t="e">
        <f>AND(List1!B334,"AAAAAFHdnf8=")</f>
        <v>#VALUE!</v>
      </c>
    </row>
    <row r="13" spans="1:256" ht="12.75">
      <c r="A13" t="e">
        <f>AND(List1!C334,"AAAAAG77/QA=")</f>
        <v>#VALUE!</v>
      </c>
      <c r="B13" t="e">
        <f>AND(List1!E334,"AAAAAG77/QE=")</f>
        <v>#VALUE!</v>
      </c>
      <c r="C13" t="e">
        <f>AND(List1!F334,"AAAAAG77/QI=")</f>
        <v>#VALUE!</v>
      </c>
      <c r="D13" t="e">
        <f>AND(List1!G334,"AAAAAG77/QM=")</f>
        <v>#VALUE!</v>
      </c>
      <c r="E13" t="e">
        <f>AND(List1!H334,"AAAAAG77/QQ=")</f>
        <v>#VALUE!</v>
      </c>
      <c r="F13" t="e">
        <f>AND(List1!I334,"AAAAAG77/QU=")</f>
        <v>#VALUE!</v>
      </c>
      <c r="G13" t="str">
        <f>IF(List1!333:333,"AAAAAG77/QY=",0)</f>
        <v>AAAAAG77/QY=</v>
      </c>
      <c r="H13" t="e">
        <f>AND(List1!A335,"AAAAAG77/Qc=")</f>
        <v>#VALUE!</v>
      </c>
      <c r="I13" t="e">
        <f>AND(List1!B335,"AAAAAG77/Qg=")</f>
        <v>#VALUE!</v>
      </c>
      <c r="J13" t="e">
        <f>AND(List1!C335,"AAAAAG77/Qk=")</f>
        <v>#VALUE!</v>
      </c>
      <c r="K13" t="e">
        <f>AND(List1!E335,"AAAAAG77/Qo=")</f>
        <v>#VALUE!</v>
      </c>
      <c r="L13" t="e">
        <f>AND(List1!F335,"AAAAAG77/Qs=")</f>
        <v>#VALUE!</v>
      </c>
      <c r="M13" t="e">
        <f>AND(List1!G335,"AAAAAG77/Qw=")</f>
        <v>#VALUE!</v>
      </c>
      <c r="N13" t="e">
        <f>AND(List1!H335,"AAAAAG77/Q0=")</f>
        <v>#VALUE!</v>
      </c>
      <c r="O13" t="e">
        <f>AND(List1!I335,"AAAAAG77/Q4=")</f>
        <v>#VALUE!</v>
      </c>
      <c r="P13">
        <f>IF(List1!334:334,"AAAAAG77/Q8=",0)</f>
        <v>0</v>
      </c>
      <c r="Q13" t="e">
        <f>AND(List1!A336,"AAAAAG77/RA=")</f>
        <v>#VALUE!</v>
      </c>
      <c r="R13" t="e">
        <f>AND(List1!B336,"AAAAAG77/RE=")</f>
        <v>#VALUE!</v>
      </c>
      <c r="S13" t="e">
        <f>AND(List1!C336,"AAAAAG77/RI=")</f>
        <v>#VALUE!</v>
      </c>
      <c r="T13" t="e">
        <f>AND(List1!E336,"AAAAAG77/RM=")</f>
        <v>#VALUE!</v>
      </c>
      <c r="U13" t="e">
        <f>AND(List1!F336,"AAAAAG77/RQ=")</f>
        <v>#VALUE!</v>
      </c>
      <c r="V13" t="e">
        <f>AND(List1!G336,"AAAAAG77/RU=")</f>
        <v>#VALUE!</v>
      </c>
      <c r="W13" t="e">
        <f>AND(List1!H336,"AAAAAG77/RY=")</f>
        <v>#VALUE!</v>
      </c>
      <c r="X13" t="e">
        <f>AND(List1!I336,"AAAAAG77/Rc=")</f>
        <v>#VALUE!</v>
      </c>
      <c r="Y13">
        <f>IF(List1!335:335,"AAAAAG77/Rg=",0)</f>
        <v>0</v>
      </c>
      <c r="Z13" t="e">
        <f>AND(List1!A337,"AAAAAG77/Rk=")</f>
        <v>#VALUE!</v>
      </c>
      <c r="AA13" t="e">
        <f>AND(List1!B337,"AAAAAG77/Ro=")</f>
        <v>#VALUE!</v>
      </c>
      <c r="AB13" t="e">
        <f>AND(List1!C337,"AAAAAG77/Rs=")</f>
        <v>#VALUE!</v>
      </c>
      <c r="AC13" t="e">
        <f>AND(List1!E337,"AAAAAG77/Rw=")</f>
        <v>#VALUE!</v>
      </c>
      <c r="AD13" t="e">
        <f>AND(List1!F337,"AAAAAG77/R0=")</f>
        <v>#VALUE!</v>
      </c>
      <c r="AE13" t="e">
        <f>AND(List1!G337,"AAAAAG77/R4=")</f>
        <v>#VALUE!</v>
      </c>
      <c r="AF13" t="e">
        <f>AND(List1!H337,"AAAAAG77/R8=")</f>
        <v>#VALUE!</v>
      </c>
      <c r="AG13" t="e">
        <f>AND(List1!I337,"AAAAAG77/SA=")</f>
        <v>#VALUE!</v>
      </c>
      <c r="AH13">
        <f>IF(List1!336:336,"AAAAAG77/SE=",0)</f>
        <v>0</v>
      </c>
      <c r="AI13" t="e">
        <f>AND(List1!A338,"AAAAAG77/SI=")</f>
        <v>#VALUE!</v>
      </c>
      <c r="AJ13" t="e">
        <f>AND(List1!B338,"AAAAAG77/SM=")</f>
        <v>#VALUE!</v>
      </c>
      <c r="AK13" t="e">
        <f>AND(List1!C338,"AAAAAG77/SQ=")</f>
        <v>#VALUE!</v>
      </c>
      <c r="AL13" t="e">
        <f>AND(List1!E338,"AAAAAG77/SU=")</f>
        <v>#VALUE!</v>
      </c>
      <c r="AM13" t="e">
        <f>AND(List1!F338,"AAAAAG77/SY=")</f>
        <v>#VALUE!</v>
      </c>
      <c r="AN13" t="e">
        <f>AND(List1!G338,"AAAAAG77/Sc=")</f>
        <v>#VALUE!</v>
      </c>
      <c r="AO13" t="e">
        <f>AND(List1!H338,"AAAAAG77/Sg=")</f>
        <v>#VALUE!</v>
      </c>
      <c r="AP13" t="e">
        <f>AND(List1!I338,"AAAAAG77/Sk=")</f>
        <v>#VALUE!</v>
      </c>
      <c r="AQ13">
        <f>IF(List1!337:337,"AAAAAG77/So=",0)</f>
        <v>0</v>
      </c>
      <c r="AR13" t="e">
        <f>AND(List1!A339,"AAAAAG77/Ss=")</f>
        <v>#VALUE!</v>
      </c>
      <c r="AS13" t="e">
        <f>AND(List1!B339,"AAAAAG77/Sw=")</f>
        <v>#VALUE!</v>
      </c>
      <c r="AT13" t="e">
        <f>AND(List1!C339,"AAAAAG77/S0=")</f>
        <v>#VALUE!</v>
      </c>
      <c r="AU13" t="e">
        <f>AND(List1!E339,"AAAAAG77/S4=")</f>
        <v>#VALUE!</v>
      </c>
      <c r="AV13" t="e">
        <f>AND(List1!F339,"AAAAAG77/S8=")</f>
        <v>#VALUE!</v>
      </c>
      <c r="AW13" t="e">
        <f>AND(List1!G339,"AAAAAG77/TA=")</f>
        <v>#VALUE!</v>
      </c>
      <c r="AX13" t="e">
        <f>AND(List1!H339,"AAAAAG77/TE=")</f>
        <v>#VALUE!</v>
      </c>
      <c r="AY13" t="e">
        <f>AND(List1!I339,"AAAAAG77/TI=")</f>
        <v>#VALUE!</v>
      </c>
      <c r="AZ13">
        <f>IF(List1!338:338,"AAAAAG77/TM=",0)</f>
        <v>0</v>
      </c>
      <c r="BA13" t="e">
        <f>AND(List1!A340,"AAAAAG77/TQ=")</f>
        <v>#VALUE!</v>
      </c>
      <c r="BB13" t="e">
        <f>AND(List1!B340,"AAAAAG77/TU=")</f>
        <v>#VALUE!</v>
      </c>
      <c r="BC13" t="e">
        <f>AND(List1!C340,"AAAAAG77/TY=")</f>
        <v>#VALUE!</v>
      </c>
      <c r="BD13" t="e">
        <f>AND(List1!E340,"AAAAAG77/Tc=")</f>
        <v>#VALUE!</v>
      </c>
      <c r="BE13" t="e">
        <f>AND(List1!F340,"AAAAAG77/Tg=")</f>
        <v>#VALUE!</v>
      </c>
      <c r="BF13" t="e">
        <f>AND(List1!G340,"AAAAAG77/Tk=")</f>
        <v>#VALUE!</v>
      </c>
      <c r="BG13" t="e">
        <f>AND(List1!H340,"AAAAAG77/To=")</f>
        <v>#VALUE!</v>
      </c>
      <c r="BH13" t="e">
        <f>AND(List1!I340,"AAAAAG77/Ts=")</f>
        <v>#VALUE!</v>
      </c>
      <c r="BI13">
        <f>IF(List1!339:339,"AAAAAG77/Tw=",0)</f>
        <v>0</v>
      </c>
      <c r="BJ13" t="e">
        <f>AND(List1!A341,"AAAAAG77/T0=")</f>
        <v>#VALUE!</v>
      </c>
      <c r="BK13" t="e">
        <f>AND(List1!B341,"AAAAAG77/T4=")</f>
        <v>#VALUE!</v>
      </c>
      <c r="BL13" t="e">
        <f>AND(List1!C341,"AAAAAG77/T8=")</f>
        <v>#VALUE!</v>
      </c>
      <c r="BM13" t="e">
        <f>AND(List1!E341,"AAAAAG77/UA=")</f>
        <v>#VALUE!</v>
      </c>
      <c r="BN13" t="e">
        <f>AND(List1!F341,"AAAAAG77/UE=")</f>
        <v>#VALUE!</v>
      </c>
      <c r="BO13" t="e">
        <f>AND(List1!G341,"AAAAAG77/UI=")</f>
        <v>#VALUE!</v>
      </c>
      <c r="BP13" t="e">
        <f>AND(List1!H341,"AAAAAG77/UM=")</f>
        <v>#VALUE!</v>
      </c>
      <c r="BQ13" t="e">
        <f>AND(List1!I341,"AAAAAG77/UQ=")</f>
        <v>#VALUE!</v>
      </c>
      <c r="BR13">
        <f>IF(List1!340:340,"AAAAAG77/UU=",0)</f>
        <v>0</v>
      </c>
      <c r="BS13" t="e">
        <f>AND(List1!A342,"AAAAAG77/UY=")</f>
        <v>#VALUE!</v>
      </c>
      <c r="BT13" t="e">
        <f>AND(List1!B342,"AAAAAG77/Uc=")</f>
        <v>#VALUE!</v>
      </c>
      <c r="BU13" t="e">
        <f>AND(List1!C342,"AAAAAG77/Ug=")</f>
        <v>#VALUE!</v>
      </c>
      <c r="BV13" t="e">
        <f>AND(List1!E342,"AAAAAG77/Uk=")</f>
        <v>#VALUE!</v>
      </c>
      <c r="BW13" t="e">
        <f>AND(List1!F342,"AAAAAG77/Uo=")</f>
        <v>#VALUE!</v>
      </c>
      <c r="BX13" t="e">
        <f>AND(List1!G342,"AAAAAG77/Us=")</f>
        <v>#VALUE!</v>
      </c>
      <c r="BY13" t="e">
        <f>AND(List1!H342,"AAAAAG77/Uw=")</f>
        <v>#VALUE!</v>
      </c>
      <c r="BZ13" t="e">
        <f>AND(List1!I342,"AAAAAG77/U0=")</f>
        <v>#VALUE!</v>
      </c>
      <c r="CA13">
        <f>IF(List1!341:341,"AAAAAG77/U4=",0)</f>
        <v>0</v>
      </c>
      <c r="CB13" t="e">
        <f>AND(List1!A343,"AAAAAG77/U8=")</f>
        <v>#VALUE!</v>
      </c>
      <c r="CC13" t="e">
        <f>AND(List1!B343,"AAAAAG77/VA=")</f>
        <v>#VALUE!</v>
      </c>
      <c r="CD13" t="e">
        <f>AND(List1!C343,"AAAAAG77/VE=")</f>
        <v>#VALUE!</v>
      </c>
      <c r="CE13" t="e">
        <f>AND(List1!E343,"AAAAAG77/VI=")</f>
        <v>#VALUE!</v>
      </c>
      <c r="CF13" t="e">
        <f>AND(List1!F343,"AAAAAG77/VM=")</f>
        <v>#VALUE!</v>
      </c>
      <c r="CG13" t="e">
        <f>AND(List1!G343,"AAAAAG77/VQ=")</f>
        <v>#VALUE!</v>
      </c>
      <c r="CH13" t="e">
        <f>AND(List1!H343,"AAAAAG77/VU=")</f>
        <v>#VALUE!</v>
      </c>
      <c r="CI13" t="e">
        <f>AND(List1!I343,"AAAAAG77/VY=")</f>
        <v>#VALUE!</v>
      </c>
      <c r="CJ13">
        <f>IF(List1!342:342,"AAAAAG77/Vc=",0)</f>
        <v>0</v>
      </c>
      <c r="CK13" t="e">
        <f>AND(List1!A344,"AAAAAG77/Vg=")</f>
        <v>#VALUE!</v>
      </c>
      <c r="CL13" t="e">
        <f>AND(List1!B344,"AAAAAG77/Vk=")</f>
        <v>#VALUE!</v>
      </c>
      <c r="CM13" t="e">
        <f>AND(List1!C344,"AAAAAG77/Vo=")</f>
        <v>#VALUE!</v>
      </c>
      <c r="CN13" t="e">
        <f>AND(List1!E344,"AAAAAG77/Vs=")</f>
        <v>#VALUE!</v>
      </c>
      <c r="CO13" t="e">
        <f>AND(List1!F344,"AAAAAG77/Vw=")</f>
        <v>#VALUE!</v>
      </c>
      <c r="CP13" t="e">
        <f>AND(List1!G344,"AAAAAG77/V0=")</f>
        <v>#VALUE!</v>
      </c>
      <c r="CQ13" t="e">
        <f>AND(List1!H344,"AAAAAG77/V4=")</f>
        <v>#VALUE!</v>
      </c>
      <c r="CR13" t="e">
        <f>AND(List1!I344,"AAAAAG77/V8=")</f>
        <v>#VALUE!</v>
      </c>
      <c r="CS13">
        <f>IF(List1!343:343,"AAAAAG77/WA=",0)</f>
        <v>0</v>
      </c>
      <c r="CT13" t="e">
        <f>AND(List1!A345,"AAAAAG77/WE=")</f>
        <v>#VALUE!</v>
      </c>
      <c r="CU13" t="e">
        <f>AND(List1!B345,"AAAAAG77/WI=")</f>
        <v>#VALUE!</v>
      </c>
      <c r="CV13" t="e">
        <f>AND(List1!C345,"AAAAAG77/WM=")</f>
        <v>#VALUE!</v>
      </c>
      <c r="CW13" t="e">
        <f>AND(List1!E345,"AAAAAG77/WQ=")</f>
        <v>#VALUE!</v>
      </c>
      <c r="CX13" t="e">
        <f>AND(List1!F345,"AAAAAG77/WU=")</f>
        <v>#VALUE!</v>
      </c>
      <c r="CY13" t="e">
        <f>AND(List1!G345,"AAAAAG77/WY=")</f>
        <v>#VALUE!</v>
      </c>
      <c r="CZ13" t="e">
        <f>AND(List1!H345,"AAAAAG77/Wc=")</f>
        <v>#VALUE!</v>
      </c>
      <c r="DA13" t="e">
        <f>AND(List1!I345,"AAAAAG77/Wg=")</f>
        <v>#VALUE!</v>
      </c>
      <c r="DB13">
        <f>IF(List1!344:344,"AAAAAG77/Wk=",0)</f>
        <v>0</v>
      </c>
      <c r="DC13" t="e">
        <f>AND(List1!A346,"AAAAAG77/Wo=")</f>
        <v>#VALUE!</v>
      </c>
      <c r="DD13" t="e">
        <f>AND(List1!B346,"AAAAAG77/Ws=")</f>
        <v>#VALUE!</v>
      </c>
      <c r="DE13" t="e">
        <f>AND(List1!C346,"AAAAAG77/Ww=")</f>
        <v>#VALUE!</v>
      </c>
      <c r="DF13" t="e">
        <f>AND(List1!E346,"AAAAAG77/W0=")</f>
        <v>#VALUE!</v>
      </c>
      <c r="DG13" t="e">
        <f>AND(List1!F346,"AAAAAG77/W4=")</f>
        <v>#VALUE!</v>
      </c>
      <c r="DH13" t="e">
        <f>AND(List1!G346,"AAAAAG77/W8=")</f>
        <v>#VALUE!</v>
      </c>
      <c r="DI13" t="e">
        <f>AND(List1!H346,"AAAAAG77/XA=")</f>
        <v>#VALUE!</v>
      </c>
      <c r="DJ13" t="e">
        <f>AND(List1!I346,"AAAAAG77/XE=")</f>
        <v>#VALUE!</v>
      </c>
      <c r="DK13">
        <f>IF(List1!345:345,"AAAAAG77/XI=",0)</f>
        <v>0</v>
      </c>
      <c r="DL13" t="e">
        <f>AND(List1!A347,"AAAAAG77/XM=")</f>
        <v>#VALUE!</v>
      </c>
      <c r="DM13" t="e">
        <f>AND(List1!B347,"AAAAAG77/XQ=")</f>
        <v>#VALUE!</v>
      </c>
      <c r="DN13" t="e">
        <f>AND(List1!C347,"AAAAAG77/XU=")</f>
        <v>#VALUE!</v>
      </c>
      <c r="DO13" t="e">
        <f>AND(List1!E347,"AAAAAG77/XY=")</f>
        <v>#VALUE!</v>
      </c>
      <c r="DP13" t="e">
        <f>AND(List1!F347,"AAAAAG77/Xc=")</f>
        <v>#VALUE!</v>
      </c>
      <c r="DQ13" t="e">
        <f>AND(List1!G347,"AAAAAG77/Xg=")</f>
        <v>#VALUE!</v>
      </c>
      <c r="DR13" t="e">
        <f>AND(List1!H347,"AAAAAG77/Xk=")</f>
        <v>#VALUE!</v>
      </c>
      <c r="DS13" t="e">
        <f>AND(List1!I347,"AAAAAG77/Xo=")</f>
        <v>#VALUE!</v>
      </c>
      <c r="DT13">
        <f>IF(List1!346:346,"AAAAAG77/Xs=",0)</f>
        <v>0</v>
      </c>
      <c r="DU13" t="e">
        <f>AND(List1!A348,"AAAAAG77/Xw=")</f>
        <v>#VALUE!</v>
      </c>
      <c r="DV13" t="e">
        <f>AND(List1!B348,"AAAAAG77/X0=")</f>
        <v>#VALUE!</v>
      </c>
      <c r="DW13" t="e">
        <f>AND(List1!C348,"AAAAAG77/X4=")</f>
        <v>#VALUE!</v>
      </c>
      <c r="DX13" t="e">
        <f>AND(List1!E348,"AAAAAG77/X8=")</f>
        <v>#VALUE!</v>
      </c>
      <c r="DY13" t="e">
        <f>AND(List1!F348,"AAAAAG77/YA=")</f>
        <v>#VALUE!</v>
      </c>
      <c r="DZ13" t="e">
        <f>AND(List1!G348,"AAAAAG77/YE=")</f>
        <v>#VALUE!</v>
      </c>
      <c r="EA13" t="e">
        <f>AND(List1!H348,"AAAAAG77/YI=")</f>
        <v>#VALUE!</v>
      </c>
      <c r="EB13" t="e">
        <f>AND(List1!I348,"AAAAAG77/YM=")</f>
        <v>#VALUE!</v>
      </c>
      <c r="EC13">
        <f>IF(List1!347:347,"AAAAAG77/YQ=",0)</f>
        <v>0</v>
      </c>
      <c r="ED13" t="e">
        <f>AND(List1!A349,"AAAAAG77/YU=")</f>
        <v>#VALUE!</v>
      </c>
      <c r="EE13" t="e">
        <f>AND(List1!B349,"AAAAAG77/YY=")</f>
        <v>#VALUE!</v>
      </c>
      <c r="EF13" t="e">
        <f>AND(List1!C349,"AAAAAG77/Yc=")</f>
        <v>#VALUE!</v>
      </c>
      <c r="EG13" t="e">
        <f>AND(List1!E349,"AAAAAG77/Yg=")</f>
        <v>#VALUE!</v>
      </c>
      <c r="EH13" t="e">
        <f>AND(List1!F349,"AAAAAG77/Yk=")</f>
        <v>#VALUE!</v>
      </c>
      <c r="EI13" t="e">
        <f>AND(List1!G349,"AAAAAG77/Yo=")</f>
        <v>#VALUE!</v>
      </c>
      <c r="EJ13" t="e">
        <f>AND(List1!H349,"AAAAAG77/Ys=")</f>
        <v>#VALUE!</v>
      </c>
      <c r="EK13" t="e">
        <f>AND(List1!I349,"AAAAAG77/Yw=")</f>
        <v>#VALUE!</v>
      </c>
      <c r="EL13">
        <f>IF(List1!348:348,"AAAAAG77/Y0=",0)</f>
        <v>0</v>
      </c>
      <c r="EM13" t="e">
        <f>AND(List1!A350,"AAAAAG77/Y4=")</f>
        <v>#VALUE!</v>
      </c>
      <c r="EN13" t="e">
        <f>AND(List1!B350,"AAAAAG77/Y8=")</f>
        <v>#VALUE!</v>
      </c>
      <c r="EO13" t="e">
        <f>AND(List1!C350,"AAAAAG77/ZA=")</f>
        <v>#VALUE!</v>
      </c>
      <c r="EP13" t="e">
        <f>AND(List1!E350,"AAAAAG77/ZE=")</f>
        <v>#VALUE!</v>
      </c>
      <c r="EQ13" t="e">
        <f>AND(List1!F350,"AAAAAG77/ZI=")</f>
        <v>#VALUE!</v>
      </c>
      <c r="ER13" t="e">
        <f>AND(List1!G350,"AAAAAG77/ZM=")</f>
        <v>#VALUE!</v>
      </c>
      <c r="ES13" t="e">
        <f>AND(List1!H350,"AAAAAG77/ZQ=")</f>
        <v>#VALUE!</v>
      </c>
      <c r="ET13" t="e">
        <f>AND(List1!I350,"AAAAAG77/ZU=")</f>
        <v>#VALUE!</v>
      </c>
      <c r="EU13">
        <f>IF(List1!349:349,"AAAAAG77/ZY=",0)</f>
        <v>0</v>
      </c>
      <c r="EV13" t="e">
        <f>AND(List1!A351,"AAAAAG77/Zc=")</f>
        <v>#VALUE!</v>
      </c>
      <c r="EW13" t="e">
        <f>AND(List1!B351,"AAAAAG77/Zg=")</f>
        <v>#VALUE!</v>
      </c>
      <c r="EX13" t="e">
        <f>AND(List1!C351,"AAAAAG77/Zk=")</f>
        <v>#VALUE!</v>
      </c>
      <c r="EY13" t="e">
        <f>AND(List1!E351,"AAAAAG77/Zo=")</f>
        <v>#VALUE!</v>
      </c>
      <c r="EZ13" t="e">
        <f>AND(List1!F351,"AAAAAG77/Zs=")</f>
        <v>#VALUE!</v>
      </c>
      <c r="FA13" t="e">
        <f>AND(List1!G351,"AAAAAG77/Zw=")</f>
        <v>#VALUE!</v>
      </c>
      <c r="FB13" t="e">
        <f>AND(List1!H351,"AAAAAG77/Z0=")</f>
        <v>#VALUE!</v>
      </c>
      <c r="FC13" t="e">
        <f>AND(List1!I351,"AAAAAG77/Z4=")</f>
        <v>#VALUE!</v>
      </c>
      <c r="FD13">
        <f>IF(List1!350:350,"AAAAAG77/Z8=",0)</f>
        <v>0</v>
      </c>
      <c r="FE13" t="e">
        <f>AND(List1!A352,"AAAAAG77/aA=")</f>
        <v>#VALUE!</v>
      </c>
      <c r="FF13" t="e">
        <f>AND(List1!B352,"AAAAAG77/aE=")</f>
        <v>#VALUE!</v>
      </c>
      <c r="FG13" t="e">
        <f>AND(List1!C352,"AAAAAG77/aI=")</f>
        <v>#VALUE!</v>
      </c>
      <c r="FH13" t="e">
        <f>AND(List1!E352,"AAAAAG77/aM=")</f>
        <v>#VALUE!</v>
      </c>
      <c r="FI13" t="e">
        <f>AND(List1!F352,"AAAAAG77/aQ=")</f>
        <v>#VALUE!</v>
      </c>
      <c r="FJ13" t="e">
        <f>AND(List1!G352,"AAAAAG77/aU=")</f>
        <v>#VALUE!</v>
      </c>
      <c r="FK13" t="e">
        <f>AND(List1!H352,"AAAAAG77/aY=")</f>
        <v>#VALUE!</v>
      </c>
      <c r="FL13" t="e">
        <f>AND(List1!I352,"AAAAAG77/ac=")</f>
        <v>#VALUE!</v>
      </c>
      <c r="FM13">
        <f>IF(List1!351:351,"AAAAAG77/ag=",0)</f>
        <v>0</v>
      </c>
      <c r="FN13" t="e">
        <f>AND(List1!A353,"AAAAAG77/ak=")</f>
        <v>#VALUE!</v>
      </c>
      <c r="FO13" t="e">
        <f>AND(List1!B353,"AAAAAG77/ao=")</f>
        <v>#VALUE!</v>
      </c>
      <c r="FP13" t="e">
        <f>AND(List1!C353,"AAAAAG77/as=")</f>
        <v>#VALUE!</v>
      </c>
      <c r="FQ13" t="e">
        <f>AND(List1!E353,"AAAAAG77/aw=")</f>
        <v>#VALUE!</v>
      </c>
      <c r="FR13" t="e">
        <f>AND(List1!F353,"AAAAAG77/a0=")</f>
        <v>#VALUE!</v>
      </c>
      <c r="FS13" t="e">
        <f>AND(List1!G353,"AAAAAG77/a4=")</f>
        <v>#VALUE!</v>
      </c>
      <c r="FT13" t="e">
        <f>AND(List1!H353,"AAAAAG77/a8=")</f>
        <v>#VALUE!</v>
      </c>
      <c r="FU13" t="e">
        <f>AND(List1!I353,"AAAAAG77/bA=")</f>
        <v>#VALUE!</v>
      </c>
      <c r="FV13">
        <f>IF(List1!352:352,"AAAAAG77/bE=",0)</f>
        <v>0</v>
      </c>
      <c r="FW13" t="e">
        <f>AND(List1!A354,"AAAAAG77/bI=")</f>
        <v>#VALUE!</v>
      </c>
      <c r="FX13" t="e">
        <f>AND(List1!B354,"AAAAAG77/bM=")</f>
        <v>#VALUE!</v>
      </c>
      <c r="FY13" t="e">
        <f>AND(List1!C354,"AAAAAG77/bQ=")</f>
        <v>#VALUE!</v>
      </c>
      <c r="FZ13" t="e">
        <f>AND(List1!E354,"AAAAAG77/bU=")</f>
        <v>#VALUE!</v>
      </c>
      <c r="GA13" t="e">
        <f>AND(List1!F354,"AAAAAG77/bY=")</f>
        <v>#VALUE!</v>
      </c>
      <c r="GB13" t="e">
        <f>AND(List1!G354,"AAAAAG77/bc=")</f>
        <v>#VALUE!</v>
      </c>
      <c r="GC13" t="e">
        <f>AND(List1!H354,"AAAAAG77/bg=")</f>
        <v>#VALUE!</v>
      </c>
      <c r="GD13" t="e">
        <f>AND(List1!I354,"AAAAAG77/bk=")</f>
        <v>#VALUE!</v>
      </c>
      <c r="GE13">
        <f>IF(List1!353:353,"AAAAAG77/bo=",0)</f>
        <v>0</v>
      </c>
      <c r="GF13" t="e">
        <f>AND(List1!A355,"AAAAAG77/bs=")</f>
        <v>#VALUE!</v>
      </c>
      <c r="GG13" t="e">
        <f>AND(List1!B355,"AAAAAG77/bw=")</f>
        <v>#VALUE!</v>
      </c>
      <c r="GH13" t="e">
        <f>AND(List1!C355,"AAAAAG77/b0=")</f>
        <v>#VALUE!</v>
      </c>
      <c r="GI13" t="e">
        <f>AND(List1!E355,"AAAAAG77/b4=")</f>
        <v>#VALUE!</v>
      </c>
      <c r="GJ13" t="e">
        <f>AND(List1!F355,"AAAAAG77/b8=")</f>
        <v>#VALUE!</v>
      </c>
      <c r="GK13" t="e">
        <f>AND(List1!G355,"AAAAAG77/cA=")</f>
        <v>#VALUE!</v>
      </c>
      <c r="GL13" t="e">
        <f>AND(List1!H355,"AAAAAG77/cE=")</f>
        <v>#VALUE!</v>
      </c>
      <c r="GM13" t="e">
        <f>AND(List1!I355,"AAAAAG77/cI=")</f>
        <v>#VALUE!</v>
      </c>
      <c r="GN13">
        <f>IF(List1!354:354,"AAAAAG77/cM=",0)</f>
        <v>0</v>
      </c>
      <c r="GO13" t="e">
        <f>AND(List1!A356,"AAAAAG77/cQ=")</f>
        <v>#VALUE!</v>
      </c>
      <c r="GP13" t="e">
        <f>AND(List1!B356,"AAAAAG77/cU=")</f>
        <v>#VALUE!</v>
      </c>
      <c r="GQ13" t="e">
        <f>AND(List1!C356,"AAAAAG77/cY=")</f>
        <v>#VALUE!</v>
      </c>
      <c r="GR13" t="e">
        <f>AND(List1!E356,"AAAAAG77/cc=")</f>
        <v>#VALUE!</v>
      </c>
      <c r="GS13" t="e">
        <f>AND(List1!F356,"AAAAAG77/cg=")</f>
        <v>#VALUE!</v>
      </c>
      <c r="GT13" t="e">
        <f>AND(List1!G356,"AAAAAG77/ck=")</f>
        <v>#VALUE!</v>
      </c>
      <c r="GU13" t="e">
        <f>AND(List1!H356,"AAAAAG77/co=")</f>
        <v>#VALUE!</v>
      </c>
      <c r="GV13" t="e">
        <f>AND(List1!I356,"AAAAAG77/cs=")</f>
        <v>#VALUE!</v>
      </c>
      <c r="GW13">
        <f>IF(List1!355:355,"AAAAAG77/cw=",0)</f>
        <v>0</v>
      </c>
      <c r="GX13" t="e">
        <f>AND(List1!A357,"AAAAAG77/c0=")</f>
        <v>#VALUE!</v>
      </c>
      <c r="GY13" t="e">
        <f>AND(List1!B357,"AAAAAG77/c4=")</f>
        <v>#VALUE!</v>
      </c>
      <c r="GZ13" t="e">
        <f>AND(List1!C357,"AAAAAG77/c8=")</f>
        <v>#VALUE!</v>
      </c>
      <c r="HA13" t="e">
        <f>AND(List1!E357,"AAAAAG77/dA=")</f>
        <v>#VALUE!</v>
      </c>
      <c r="HB13" t="e">
        <f>AND(List1!F357,"AAAAAG77/dE=")</f>
        <v>#VALUE!</v>
      </c>
      <c r="HC13" t="e">
        <f>AND(List1!G357,"AAAAAG77/dI=")</f>
        <v>#VALUE!</v>
      </c>
      <c r="HD13" t="e">
        <f>AND(List1!H357,"AAAAAG77/dM=")</f>
        <v>#VALUE!</v>
      </c>
      <c r="HE13" t="e">
        <f>AND(List1!I357,"AAAAAG77/dQ=")</f>
        <v>#VALUE!</v>
      </c>
      <c r="HF13">
        <f>IF(List1!356:356,"AAAAAG77/dU=",0)</f>
        <v>0</v>
      </c>
      <c r="HG13" t="e">
        <f>AND(List1!A358,"AAAAAG77/dY=")</f>
        <v>#VALUE!</v>
      </c>
      <c r="HH13" t="e">
        <f>AND(List1!B358,"AAAAAG77/dc=")</f>
        <v>#VALUE!</v>
      </c>
      <c r="HI13" t="e">
        <f>AND(List1!C358,"AAAAAG77/dg=")</f>
        <v>#VALUE!</v>
      </c>
      <c r="HJ13" t="e">
        <f>AND(List1!E358,"AAAAAG77/dk=")</f>
        <v>#VALUE!</v>
      </c>
      <c r="HK13" t="e">
        <f>AND(List1!F358,"AAAAAG77/do=")</f>
        <v>#VALUE!</v>
      </c>
      <c r="HL13" t="e">
        <f>AND(List1!G358,"AAAAAG77/ds=")</f>
        <v>#VALUE!</v>
      </c>
      <c r="HM13" t="e">
        <f>AND(List1!H358,"AAAAAG77/dw=")</f>
        <v>#VALUE!</v>
      </c>
      <c r="HN13" t="e">
        <f>AND(List1!I358,"AAAAAG77/d0=")</f>
        <v>#VALUE!</v>
      </c>
      <c r="HO13">
        <f>IF(List1!357:357,"AAAAAG77/d4=",0)</f>
        <v>0</v>
      </c>
      <c r="HP13" t="e">
        <f>AND(List1!A359,"AAAAAG77/d8=")</f>
        <v>#VALUE!</v>
      </c>
      <c r="HQ13" t="e">
        <f>AND(List1!B359,"AAAAAG77/eA=")</f>
        <v>#VALUE!</v>
      </c>
      <c r="HR13" t="e">
        <f>AND(List1!C359,"AAAAAG77/eE=")</f>
        <v>#VALUE!</v>
      </c>
      <c r="HS13" t="e">
        <f>AND(List1!E359,"AAAAAG77/eI=")</f>
        <v>#VALUE!</v>
      </c>
      <c r="HT13" t="e">
        <f>AND(List1!F359,"AAAAAG77/eM=")</f>
        <v>#VALUE!</v>
      </c>
      <c r="HU13" t="e">
        <f>AND(List1!G359,"AAAAAG77/eQ=")</f>
        <v>#VALUE!</v>
      </c>
      <c r="HV13" t="e">
        <f>AND(List1!H359,"AAAAAG77/eU=")</f>
        <v>#VALUE!</v>
      </c>
      <c r="HW13" t="e">
        <f>AND(List1!I359,"AAAAAG77/eY=")</f>
        <v>#VALUE!</v>
      </c>
      <c r="HX13">
        <f>IF(List1!358:358,"AAAAAG77/ec=",0)</f>
        <v>0</v>
      </c>
      <c r="HY13" t="e">
        <f>AND(List1!A360,"AAAAAG77/eg=")</f>
        <v>#VALUE!</v>
      </c>
      <c r="HZ13" t="e">
        <f>AND(List1!B360,"AAAAAG77/ek=")</f>
        <v>#VALUE!</v>
      </c>
      <c r="IA13" t="e">
        <f>AND(List1!C360,"AAAAAG77/eo=")</f>
        <v>#VALUE!</v>
      </c>
      <c r="IB13" t="e">
        <f>AND(List1!E360,"AAAAAG77/es=")</f>
        <v>#VALUE!</v>
      </c>
      <c r="IC13" t="e">
        <f>AND(List1!F360,"AAAAAG77/ew=")</f>
        <v>#VALUE!</v>
      </c>
      <c r="ID13" t="e">
        <f>AND(List1!G360,"AAAAAG77/e0=")</f>
        <v>#VALUE!</v>
      </c>
      <c r="IE13" t="e">
        <f>AND(List1!H360,"AAAAAG77/e4=")</f>
        <v>#VALUE!</v>
      </c>
      <c r="IF13" t="e">
        <f>AND(List1!I360,"AAAAAG77/e8=")</f>
        <v>#VALUE!</v>
      </c>
      <c r="IG13">
        <f>IF(List1!359:359,"AAAAAG77/fA=",0)</f>
        <v>0</v>
      </c>
      <c r="IH13" t="e">
        <f>AND(List1!A361,"AAAAAG77/fE=")</f>
        <v>#VALUE!</v>
      </c>
      <c r="II13" t="e">
        <f>AND(List1!B361,"AAAAAG77/fI=")</f>
        <v>#VALUE!</v>
      </c>
      <c r="IJ13" t="e">
        <f>AND(List1!C361,"AAAAAG77/fM=")</f>
        <v>#VALUE!</v>
      </c>
      <c r="IK13" t="e">
        <f>AND(List1!E361,"AAAAAG77/fQ=")</f>
        <v>#VALUE!</v>
      </c>
      <c r="IL13" t="e">
        <f>AND(List1!F361,"AAAAAG77/fU=")</f>
        <v>#VALUE!</v>
      </c>
      <c r="IM13" t="e">
        <f>AND(List1!G361,"AAAAAG77/fY=")</f>
        <v>#VALUE!</v>
      </c>
      <c r="IN13" t="e">
        <f>AND(List1!H361,"AAAAAG77/fc=")</f>
        <v>#VALUE!</v>
      </c>
      <c r="IO13" t="e">
        <f>AND(List1!I361,"AAAAAG77/fg=")</f>
        <v>#VALUE!</v>
      </c>
      <c r="IP13">
        <f>IF(List1!360:360,"AAAAAG77/fk=",0)</f>
        <v>0</v>
      </c>
      <c r="IQ13" t="e">
        <f>AND(List1!A362,"AAAAAG77/fo=")</f>
        <v>#VALUE!</v>
      </c>
      <c r="IR13" t="e">
        <f>AND(List1!B362,"AAAAAG77/fs=")</f>
        <v>#VALUE!</v>
      </c>
      <c r="IS13" t="e">
        <f>AND(List1!C362,"AAAAAG77/fw=")</f>
        <v>#VALUE!</v>
      </c>
      <c r="IT13" t="e">
        <f>AND(List1!E362,"AAAAAG77/f0=")</f>
        <v>#VALUE!</v>
      </c>
      <c r="IU13" t="e">
        <f>AND(List1!F362,"AAAAAG77/f4=")</f>
        <v>#VALUE!</v>
      </c>
      <c r="IV13" t="e">
        <f>AND(List1!G362,"AAAAAG77/f8=")</f>
        <v>#VALUE!</v>
      </c>
    </row>
    <row r="14" spans="1:256" ht="12.75">
      <c r="A14" t="e">
        <f>AND(List1!H362,"AAAAAH72/wA=")</f>
        <v>#VALUE!</v>
      </c>
      <c r="B14" t="e">
        <f>AND(List1!I362,"AAAAAH72/wE=")</f>
        <v>#VALUE!</v>
      </c>
      <c r="C14" t="e">
        <f>IF(List1!361:361,"AAAAAH72/wI=",0)</f>
        <v>#VALUE!</v>
      </c>
      <c r="D14" t="e">
        <f>AND(List1!A363,"AAAAAH72/wM=")</f>
        <v>#VALUE!</v>
      </c>
      <c r="E14" t="e">
        <f>AND(List1!B363,"AAAAAH72/wQ=")</f>
        <v>#VALUE!</v>
      </c>
      <c r="F14" t="e">
        <f>AND(List1!C363,"AAAAAH72/wU=")</f>
        <v>#VALUE!</v>
      </c>
      <c r="G14" t="e">
        <f>AND(List1!E363,"AAAAAH72/wY=")</f>
        <v>#VALUE!</v>
      </c>
      <c r="H14" t="e">
        <f>AND(List1!F363,"AAAAAH72/wc=")</f>
        <v>#VALUE!</v>
      </c>
      <c r="I14" t="e">
        <f>AND(List1!G363,"AAAAAH72/wg=")</f>
        <v>#VALUE!</v>
      </c>
      <c r="J14" t="e">
        <f>AND(List1!H363,"AAAAAH72/wk=")</f>
        <v>#VALUE!</v>
      </c>
      <c r="K14" t="e">
        <f>AND(List1!I363,"AAAAAH72/wo=")</f>
        <v>#VALUE!</v>
      </c>
      <c r="L14">
        <f>IF(List1!362:362,"AAAAAH72/ws=",0)</f>
        <v>0</v>
      </c>
      <c r="M14" t="e">
        <f>AND(List1!A364,"AAAAAH72/ww=")</f>
        <v>#VALUE!</v>
      </c>
      <c r="N14" t="e">
        <f>AND(List1!B364,"AAAAAH72/w0=")</f>
        <v>#VALUE!</v>
      </c>
      <c r="O14" t="e">
        <f>AND(List1!C364,"AAAAAH72/w4=")</f>
        <v>#VALUE!</v>
      </c>
      <c r="P14" t="e">
        <f>AND(List1!E364,"AAAAAH72/w8=")</f>
        <v>#VALUE!</v>
      </c>
      <c r="Q14" t="e">
        <f>AND(List1!F364,"AAAAAH72/xA=")</f>
        <v>#VALUE!</v>
      </c>
      <c r="R14" t="e">
        <f>AND(List1!G364,"AAAAAH72/xE=")</f>
        <v>#VALUE!</v>
      </c>
      <c r="S14" t="e">
        <f>AND(List1!H364,"AAAAAH72/xI=")</f>
        <v>#VALUE!</v>
      </c>
      <c r="T14" t="e">
        <f>AND(List1!I364,"AAAAAH72/xM=")</f>
        <v>#VALUE!</v>
      </c>
      <c r="U14">
        <f>IF(List1!363:363,"AAAAAH72/xQ=",0)</f>
        <v>0</v>
      </c>
      <c r="V14" t="e">
        <f>AND(List1!A365,"AAAAAH72/xU=")</f>
        <v>#VALUE!</v>
      </c>
      <c r="W14" t="e">
        <f>AND(List1!B365,"AAAAAH72/xY=")</f>
        <v>#VALUE!</v>
      </c>
      <c r="X14" t="e">
        <f>AND(List1!C365,"AAAAAH72/xc=")</f>
        <v>#VALUE!</v>
      </c>
      <c r="Y14" t="e">
        <f>AND(List1!E365,"AAAAAH72/xg=")</f>
        <v>#VALUE!</v>
      </c>
      <c r="Z14" t="e">
        <f>AND(List1!F365,"AAAAAH72/xk=")</f>
        <v>#VALUE!</v>
      </c>
      <c r="AA14" t="e">
        <f>AND(List1!G365,"AAAAAH72/xo=")</f>
        <v>#VALUE!</v>
      </c>
      <c r="AB14" t="e">
        <f>AND(List1!H365,"AAAAAH72/xs=")</f>
        <v>#VALUE!</v>
      </c>
      <c r="AC14" t="e">
        <f>AND(List1!I365,"AAAAAH72/xw=")</f>
        <v>#VALUE!</v>
      </c>
      <c r="AD14">
        <f>IF(List1!364:364,"AAAAAH72/x0=",0)</f>
        <v>0</v>
      </c>
      <c r="AE14" t="e">
        <f>AND(List1!A366,"AAAAAH72/x4=")</f>
        <v>#VALUE!</v>
      </c>
      <c r="AF14" t="e">
        <f>AND(List1!B366,"AAAAAH72/x8=")</f>
        <v>#VALUE!</v>
      </c>
      <c r="AG14" t="e">
        <f>AND(List1!C366,"AAAAAH72/yA=")</f>
        <v>#VALUE!</v>
      </c>
      <c r="AH14" t="e">
        <f>AND(List1!E366,"AAAAAH72/yE=")</f>
        <v>#VALUE!</v>
      </c>
      <c r="AI14" t="e">
        <f>AND(List1!F366,"AAAAAH72/yI=")</f>
        <v>#VALUE!</v>
      </c>
      <c r="AJ14" t="e">
        <f>AND(List1!G366,"AAAAAH72/yM=")</f>
        <v>#VALUE!</v>
      </c>
      <c r="AK14" t="e">
        <f>AND(List1!H366,"AAAAAH72/yQ=")</f>
        <v>#VALUE!</v>
      </c>
      <c r="AL14" t="e">
        <f>AND(List1!I366,"AAAAAH72/yU=")</f>
        <v>#VALUE!</v>
      </c>
      <c r="AM14">
        <f>IF(List1!365:365,"AAAAAH72/yY=",0)</f>
        <v>0</v>
      </c>
      <c r="AN14" t="e">
        <f>AND(List1!A367,"AAAAAH72/yc=")</f>
        <v>#VALUE!</v>
      </c>
      <c r="AO14" t="e">
        <f>AND(List1!B367,"AAAAAH72/yg=")</f>
        <v>#VALUE!</v>
      </c>
      <c r="AP14" t="e">
        <f>AND(List1!C367,"AAAAAH72/yk=")</f>
        <v>#VALUE!</v>
      </c>
      <c r="AQ14" t="e">
        <f>AND(List1!E367,"AAAAAH72/yo=")</f>
        <v>#VALUE!</v>
      </c>
      <c r="AR14" t="e">
        <f>AND(List1!F367,"AAAAAH72/ys=")</f>
        <v>#VALUE!</v>
      </c>
      <c r="AS14" t="e">
        <f>AND(List1!G367,"AAAAAH72/yw=")</f>
        <v>#VALUE!</v>
      </c>
      <c r="AT14" t="e">
        <f>AND(List1!H367,"AAAAAH72/y0=")</f>
        <v>#VALUE!</v>
      </c>
      <c r="AU14" t="e">
        <f>AND(List1!I367,"AAAAAH72/y4=")</f>
        <v>#VALUE!</v>
      </c>
      <c r="AV14">
        <f>IF(List1!366:366,"AAAAAH72/y8=",0)</f>
        <v>0</v>
      </c>
      <c r="AW14" t="e">
        <f>AND(List1!A368,"AAAAAH72/zA=")</f>
        <v>#VALUE!</v>
      </c>
      <c r="AX14" t="e">
        <f>AND(List1!B368,"AAAAAH72/zE=")</f>
        <v>#VALUE!</v>
      </c>
      <c r="AY14" t="e">
        <f>AND(List1!C368,"AAAAAH72/zI=")</f>
        <v>#VALUE!</v>
      </c>
      <c r="AZ14" t="e">
        <f>AND(List1!E368,"AAAAAH72/zM=")</f>
        <v>#VALUE!</v>
      </c>
      <c r="BA14" t="e">
        <f>AND(List1!F368,"AAAAAH72/zQ=")</f>
        <v>#VALUE!</v>
      </c>
      <c r="BB14" t="e">
        <f>AND(List1!G368,"AAAAAH72/zU=")</f>
        <v>#VALUE!</v>
      </c>
      <c r="BC14" t="e">
        <f>AND(List1!H368,"AAAAAH72/zY=")</f>
        <v>#VALUE!</v>
      </c>
      <c r="BD14" t="e">
        <f>AND(List1!I368,"AAAAAH72/zc=")</f>
        <v>#VALUE!</v>
      </c>
      <c r="BE14">
        <f>IF(List1!367:367,"AAAAAH72/zg=",0)</f>
        <v>0</v>
      </c>
      <c r="BF14" t="e">
        <f>AND(List1!A369,"AAAAAH72/zk=")</f>
        <v>#VALUE!</v>
      </c>
      <c r="BG14" t="e">
        <f>AND(List1!B369,"AAAAAH72/zo=")</f>
        <v>#VALUE!</v>
      </c>
      <c r="BH14" t="e">
        <f>AND(List1!C369,"AAAAAH72/zs=")</f>
        <v>#VALUE!</v>
      </c>
      <c r="BI14" t="e">
        <f>AND(List1!E369,"AAAAAH72/zw=")</f>
        <v>#VALUE!</v>
      </c>
      <c r="BJ14" t="e">
        <f>AND(List1!F369,"AAAAAH72/z0=")</f>
        <v>#VALUE!</v>
      </c>
      <c r="BK14" t="e">
        <f>AND(List1!G369,"AAAAAH72/z4=")</f>
        <v>#VALUE!</v>
      </c>
      <c r="BL14" t="e">
        <f>AND(List1!H369,"AAAAAH72/z8=")</f>
        <v>#VALUE!</v>
      </c>
      <c r="BM14" t="e">
        <f>AND(List1!I369,"AAAAAH72/0A=")</f>
        <v>#VALUE!</v>
      </c>
      <c r="BN14">
        <f>IF(List1!368:368,"AAAAAH72/0E=",0)</f>
        <v>0</v>
      </c>
      <c r="BO14" t="e">
        <f>AND(List1!A370,"AAAAAH72/0I=")</f>
        <v>#VALUE!</v>
      </c>
      <c r="BP14" t="e">
        <f>AND(List1!B370,"AAAAAH72/0M=")</f>
        <v>#VALUE!</v>
      </c>
      <c r="BQ14" t="e">
        <f>AND(List1!C370,"AAAAAH72/0Q=")</f>
        <v>#VALUE!</v>
      </c>
      <c r="BR14" t="e">
        <f>AND(List1!E370,"AAAAAH72/0U=")</f>
        <v>#VALUE!</v>
      </c>
      <c r="BS14" t="e">
        <f>AND(List1!F370,"AAAAAH72/0Y=")</f>
        <v>#VALUE!</v>
      </c>
      <c r="BT14" t="e">
        <f>AND(List1!G370,"AAAAAH72/0c=")</f>
        <v>#VALUE!</v>
      </c>
      <c r="BU14" t="e">
        <f>AND(List1!H370,"AAAAAH72/0g=")</f>
        <v>#VALUE!</v>
      </c>
      <c r="BV14" t="e">
        <f>AND(List1!I370,"AAAAAH72/0k=")</f>
        <v>#VALUE!</v>
      </c>
      <c r="BW14">
        <f>IF(List1!369:369,"AAAAAH72/0o=",0)</f>
        <v>0</v>
      </c>
      <c r="BX14" t="e">
        <f>AND(List1!A371,"AAAAAH72/0s=")</f>
        <v>#VALUE!</v>
      </c>
      <c r="BY14" t="e">
        <f>AND(List1!B371,"AAAAAH72/0w=")</f>
        <v>#VALUE!</v>
      </c>
      <c r="BZ14" t="e">
        <f>AND(List1!C371,"AAAAAH72/00=")</f>
        <v>#VALUE!</v>
      </c>
      <c r="CA14" t="e">
        <f>AND(List1!E371,"AAAAAH72/04=")</f>
        <v>#VALUE!</v>
      </c>
      <c r="CB14" t="e">
        <f>AND(List1!F371,"AAAAAH72/08=")</f>
        <v>#VALUE!</v>
      </c>
      <c r="CC14" t="e">
        <f>AND(List1!G371,"AAAAAH72/1A=")</f>
        <v>#VALUE!</v>
      </c>
      <c r="CD14" t="e">
        <f>AND(List1!H371,"AAAAAH72/1E=")</f>
        <v>#VALUE!</v>
      </c>
      <c r="CE14" t="e">
        <f>AND(List1!I371,"AAAAAH72/1I=")</f>
        <v>#VALUE!</v>
      </c>
      <c r="CF14">
        <f>IF(List1!370:370,"AAAAAH72/1M=",0)</f>
        <v>0</v>
      </c>
      <c r="CG14" t="e">
        <f>AND(List1!A372,"AAAAAH72/1Q=")</f>
        <v>#VALUE!</v>
      </c>
      <c r="CH14" t="e">
        <f>AND(List1!B372,"AAAAAH72/1U=")</f>
        <v>#VALUE!</v>
      </c>
      <c r="CI14" t="e">
        <f>AND(List1!C372,"AAAAAH72/1Y=")</f>
        <v>#VALUE!</v>
      </c>
      <c r="CJ14" t="e">
        <f>AND(List1!E372,"AAAAAH72/1c=")</f>
        <v>#VALUE!</v>
      </c>
      <c r="CK14" t="e">
        <f>AND(List1!F372,"AAAAAH72/1g=")</f>
        <v>#VALUE!</v>
      </c>
      <c r="CL14" t="e">
        <f>AND(List1!G372,"AAAAAH72/1k=")</f>
        <v>#VALUE!</v>
      </c>
      <c r="CM14" t="e">
        <f>AND(List1!H372,"AAAAAH72/1o=")</f>
        <v>#VALUE!</v>
      </c>
      <c r="CN14" t="e">
        <f>AND(List1!I372,"AAAAAH72/1s=")</f>
        <v>#VALUE!</v>
      </c>
      <c r="CO14">
        <f>IF(List1!371:371,"AAAAAH72/1w=",0)</f>
        <v>0</v>
      </c>
      <c r="CP14" t="e">
        <f>AND(List1!A373,"AAAAAH72/10=")</f>
        <v>#VALUE!</v>
      </c>
      <c r="CQ14" t="e">
        <f>AND(List1!B373,"AAAAAH72/14=")</f>
        <v>#VALUE!</v>
      </c>
      <c r="CR14" t="e">
        <f>AND(List1!C373,"AAAAAH72/18=")</f>
        <v>#VALUE!</v>
      </c>
      <c r="CS14" t="e">
        <f>AND(List1!E373,"AAAAAH72/2A=")</f>
        <v>#VALUE!</v>
      </c>
      <c r="CT14" t="e">
        <f>AND(List1!F373,"AAAAAH72/2E=")</f>
        <v>#VALUE!</v>
      </c>
      <c r="CU14" t="e">
        <f>AND(List1!G373,"AAAAAH72/2I=")</f>
        <v>#VALUE!</v>
      </c>
      <c r="CV14" t="e">
        <f>AND(List1!H373,"AAAAAH72/2M=")</f>
        <v>#VALUE!</v>
      </c>
      <c r="CW14" t="e">
        <f>AND(List1!I373,"AAAAAH72/2Q=")</f>
        <v>#VALUE!</v>
      </c>
      <c r="CX14">
        <f>IF(List1!372:372,"AAAAAH72/2U=",0)</f>
        <v>0</v>
      </c>
      <c r="CY14" t="e">
        <f>AND(List1!A374,"AAAAAH72/2Y=")</f>
        <v>#VALUE!</v>
      </c>
      <c r="CZ14" t="e">
        <f>AND(List1!B374,"AAAAAH72/2c=")</f>
        <v>#VALUE!</v>
      </c>
      <c r="DA14" t="e">
        <f>AND(List1!C374,"AAAAAH72/2g=")</f>
        <v>#VALUE!</v>
      </c>
      <c r="DB14" t="e">
        <f>AND(List1!E374,"AAAAAH72/2k=")</f>
        <v>#VALUE!</v>
      </c>
      <c r="DC14" t="e">
        <f>AND(List1!F374,"AAAAAH72/2o=")</f>
        <v>#VALUE!</v>
      </c>
      <c r="DD14" t="e">
        <f>AND(List1!G374,"AAAAAH72/2s=")</f>
        <v>#VALUE!</v>
      </c>
      <c r="DE14" t="e">
        <f>AND(List1!H374,"AAAAAH72/2w=")</f>
        <v>#VALUE!</v>
      </c>
      <c r="DF14" t="e">
        <f>AND(List1!I374,"AAAAAH72/20=")</f>
        <v>#VALUE!</v>
      </c>
      <c r="DG14">
        <f>IF(List1!373:373,"AAAAAH72/24=",0)</f>
        <v>0</v>
      </c>
      <c r="DH14" t="e">
        <f>AND(List1!A375,"AAAAAH72/28=")</f>
        <v>#VALUE!</v>
      </c>
      <c r="DI14" t="e">
        <f>AND(List1!B375,"AAAAAH72/3A=")</f>
        <v>#VALUE!</v>
      </c>
      <c r="DJ14" t="e">
        <f>AND(List1!C375,"AAAAAH72/3E=")</f>
        <v>#VALUE!</v>
      </c>
      <c r="DK14" t="e">
        <f>AND(List1!E375,"AAAAAH72/3I=")</f>
        <v>#VALUE!</v>
      </c>
      <c r="DL14" t="e">
        <f>AND(List1!F375,"AAAAAH72/3M=")</f>
        <v>#VALUE!</v>
      </c>
      <c r="DM14" t="e">
        <f>AND(List1!G375,"AAAAAH72/3Q=")</f>
        <v>#VALUE!</v>
      </c>
      <c r="DN14" t="e">
        <f>AND(List1!H375,"AAAAAH72/3U=")</f>
        <v>#VALUE!</v>
      </c>
      <c r="DO14" t="e">
        <f>AND(List1!I375,"AAAAAH72/3Y=")</f>
        <v>#VALUE!</v>
      </c>
      <c r="DP14">
        <f>IF(List1!374:374,"AAAAAH72/3c=",0)</f>
        <v>0</v>
      </c>
      <c r="DQ14" t="e">
        <f>AND(List1!A376,"AAAAAH72/3g=")</f>
        <v>#VALUE!</v>
      </c>
      <c r="DR14" t="e">
        <f>AND(List1!B376,"AAAAAH72/3k=")</f>
        <v>#VALUE!</v>
      </c>
      <c r="DS14" t="e">
        <f>AND(List1!C376,"AAAAAH72/3o=")</f>
        <v>#VALUE!</v>
      </c>
      <c r="DT14" t="e">
        <f>AND(List1!E376,"AAAAAH72/3s=")</f>
        <v>#VALUE!</v>
      </c>
      <c r="DU14" t="e">
        <f>AND(List1!F376,"AAAAAH72/3w=")</f>
        <v>#VALUE!</v>
      </c>
      <c r="DV14" t="e">
        <f>AND(List1!G376,"AAAAAH72/30=")</f>
        <v>#VALUE!</v>
      </c>
      <c r="DW14" t="e">
        <f>AND(List1!H376,"AAAAAH72/34=")</f>
        <v>#VALUE!</v>
      </c>
      <c r="DX14" t="e">
        <f>AND(List1!I376,"AAAAAH72/38=")</f>
        <v>#VALUE!</v>
      </c>
      <c r="DY14">
        <f>IF(List1!375:375,"AAAAAH72/4A=",0)</f>
        <v>0</v>
      </c>
      <c r="DZ14" t="e">
        <f>AND(List1!A377,"AAAAAH72/4E=")</f>
        <v>#VALUE!</v>
      </c>
      <c r="EA14" t="e">
        <f>AND(List1!B377,"AAAAAH72/4I=")</f>
        <v>#VALUE!</v>
      </c>
      <c r="EB14" t="e">
        <f>AND(List1!C377,"AAAAAH72/4M=")</f>
        <v>#VALUE!</v>
      </c>
      <c r="EC14" t="e">
        <f>AND(List1!E377,"AAAAAH72/4Q=")</f>
        <v>#VALUE!</v>
      </c>
      <c r="ED14" t="e">
        <f>AND(List1!F377,"AAAAAH72/4U=")</f>
        <v>#VALUE!</v>
      </c>
      <c r="EE14" t="e">
        <f>AND(List1!G377,"AAAAAH72/4Y=")</f>
        <v>#VALUE!</v>
      </c>
      <c r="EF14" t="e">
        <f>AND(List1!H377,"AAAAAH72/4c=")</f>
        <v>#VALUE!</v>
      </c>
      <c r="EG14" t="e">
        <f>AND(List1!I377,"AAAAAH72/4g=")</f>
        <v>#VALUE!</v>
      </c>
      <c r="EH14">
        <f>IF(List1!376:376,"AAAAAH72/4k=",0)</f>
        <v>0</v>
      </c>
      <c r="EI14" t="e">
        <f>AND(List1!A378,"AAAAAH72/4o=")</f>
        <v>#VALUE!</v>
      </c>
      <c r="EJ14" t="e">
        <f>AND(List1!B378,"AAAAAH72/4s=")</f>
        <v>#VALUE!</v>
      </c>
      <c r="EK14" t="e">
        <f>AND(List1!C378,"AAAAAH72/4w=")</f>
        <v>#VALUE!</v>
      </c>
      <c r="EL14" t="e">
        <f>AND(List1!E378,"AAAAAH72/40=")</f>
        <v>#VALUE!</v>
      </c>
      <c r="EM14" t="e">
        <f>AND(List1!F378,"AAAAAH72/44=")</f>
        <v>#VALUE!</v>
      </c>
      <c r="EN14" t="e">
        <f>AND(List1!G378,"AAAAAH72/48=")</f>
        <v>#VALUE!</v>
      </c>
      <c r="EO14" t="e">
        <f>AND(List1!H378,"AAAAAH72/5A=")</f>
        <v>#VALUE!</v>
      </c>
      <c r="EP14" t="e">
        <f>AND(List1!I378,"AAAAAH72/5E=")</f>
        <v>#VALUE!</v>
      </c>
      <c r="EQ14">
        <f>IF(List1!379:379,"AAAAAH72/5I=",0)</f>
        <v>0</v>
      </c>
      <c r="ER14" t="e">
        <f>AND(List1!A381,"AAAAAH72/5M=")</f>
        <v>#VALUE!</v>
      </c>
      <c r="ES14" t="e">
        <f>AND(List1!B381,"AAAAAH72/5Q=")</f>
        <v>#VALUE!</v>
      </c>
      <c r="ET14" t="e">
        <f>AND(List1!C381,"AAAAAH72/5U=")</f>
        <v>#VALUE!</v>
      </c>
      <c r="EU14" t="e">
        <f>AND(List1!E381,"AAAAAH72/5Y=")</f>
        <v>#VALUE!</v>
      </c>
      <c r="EV14" t="e">
        <f>AND(List1!F381,"AAAAAH72/5c=")</f>
        <v>#VALUE!</v>
      </c>
      <c r="EW14" t="e">
        <f>AND(List1!G381,"AAAAAH72/5g=")</f>
        <v>#VALUE!</v>
      </c>
      <c r="EX14" t="e">
        <f>AND(List1!H381,"AAAAAH72/5k=")</f>
        <v>#VALUE!</v>
      </c>
      <c r="EY14" t="e">
        <f>AND(List1!I381,"AAAAAH72/5o=")</f>
        <v>#VALUE!</v>
      </c>
      <c r="EZ14">
        <f>IF(List1!380:380,"AAAAAH72/5s=",0)</f>
        <v>0</v>
      </c>
      <c r="FA14" t="e">
        <f>AND(List1!A382,"AAAAAH72/5w=")</f>
        <v>#VALUE!</v>
      </c>
      <c r="FB14" t="e">
        <f>AND(List1!B382,"AAAAAH72/50=")</f>
        <v>#VALUE!</v>
      </c>
      <c r="FC14" t="e">
        <f>AND(List1!C382,"AAAAAH72/54=")</f>
        <v>#VALUE!</v>
      </c>
      <c r="FD14" t="e">
        <f>AND(List1!E382,"AAAAAH72/58=")</f>
        <v>#VALUE!</v>
      </c>
      <c r="FE14" t="e">
        <f>AND(List1!F382,"AAAAAH72/6A=")</f>
        <v>#VALUE!</v>
      </c>
      <c r="FF14" t="e">
        <f>AND(List1!G382,"AAAAAH72/6E=")</f>
        <v>#VALUE!</v>
      </c>
      <c r="FG14" t="e">
        <f>AND(List1!H382,"AAAAAH72/6I=")</f>
        <v>#VALUE!</v>
      </c>
      <c r="FH14" t="e">
        <f>AND(List1!I382,"AAAAAH72/6M=")</f>
        <v>#VALUE!</v>
      </c>
      <c r="FI14" t="e">
        <f>IF(List1!#REF!,"AAAAAH72/6Q=",0)</f>
        <v>#REF!</v>
      </c>
      <c r="FJ14" t="e">
        <f>AND(List1!#REF!,"AAAAAH72/6U=")</f>
        <v>#REF!</v>
      </c>
      <c r="FK14" t="e">
        <f>AND(List1!#REF!,"AAAAAH72/6Y=")</f>
        <v>#REF!</v>
      </c>
      <c r="FL14" t="e">
        <f>AND(List1!#REF!,"AAAAAH72/6c=")</f>
        <v>#REF!</v>
      </c>
      <c r="FM14" t="e">
        <f>AND(List1!#REF!,"AAAAAH72/6g=")</f>
        <v>#REF!</v>
      </c>
      <c r="FN14" t="e">
        <f>AND(List1!#REF!,"AAAAAH72/6k=")</f>
        <v>#REF!</v>
      </c>
      <c r="FO14" t="e">
        <f>AND(List1!#REF!,"AAAAAH72/6o=")</f>
        <v>#REF!</v>
      </c>
      <c r="FP14" t="e">
        <f>AND(List1!#REF!,"AAAAAH72/6s=")</f>
        <v>#REF!</v>
      </c>
      <c r="FQ14" t="e">
        <f>AND(List1!#REF!,"AAAAAH72/6w=")</f>
        <v>#REF!</v>
      </c>
      <c r="FR14" t="e">
        <f>IF(List1!#REF!,"AAAAAH72/60=",0)</f>
        <v>#REF!</v>
      </c>
      <c r="FS14" t="e">
        <f>AND(List1!#REF!,"AAAAAH72/64=")</f>
        <v>#REF!</v>
      </c>
      <c r="FT14" t="e">
        <f>AND(List1!#REF!,"AAAAAH72/68=")</f>
        <v>#REF!</v>
      </c>
      <c r="FU14" t="e">
        <f>AND(List1!#REF!,"AAAAAH72/7A=")</f>
        <v>#REF!</v>
      </c>
      <c r="FV14" t="e">
        <f>AND(List1!#REF!,"AAAAAH72/7E=")</f>
        <v>#REF!</v>
      </c>
      <c r="FW14" t="e">
        <f>AND(List1!#REF!,"AAAAAH72/7I=")</f>
        <v>#REF!</v>
      </c>
      <c r="FX14" t="e">
        <f>AND(List1!#REF!,"AAAAAH72/7M=")</f>
        <v>#REF!</v>
      </c>
      <c r="FY14" t="e">
        <f>AND(List1!#REF!,"AAAAAH72/7Q=")</f>
        <v>#REF!</v>
      </c>
      <c r="FZ14" t="e">
        <f>AND(List1!#REF!,"AAAAAH72/7U=")</f>
        <v>#REF!</v>
      </c>
      <c r="GA14">
        <f>IF(List1!381:381,"AAAAAH72/7Y=",0)</f>
        <v>0</v>
      </c>
      <c r="GB14" t="e">
        <f>AND(List1!A383,"AAAAAH72/7c=")</f>
        <v>#VALUE!</v>
      </c>
      <c r="GC14" t="e">
        <f>AND(List1!B383,"AAAAAH72/7g=")</f>
        <v>#VALUE!</v>
      </c>
      <c r="GD14" t="e">
        <f>AND(List1!C383,"AAAAAH72/7k=")</f>
        <v>#VALUE!</v>
      </c>
      <c r="GE14" t="e">
        <f>AND(List1!E383,"AAAAAH72/7o=")</f>
        <v>#VALUE!</v>
      </c>
      <c r="GF14" t="e">
        <f>AND(List1!F383,"AAAAAH72/7s=")</f>
        <v>#VALUE!</v>
      </c>
      <c r="GG14" t="e">
        <f>AND(List1!G383,"AAAAAH72/7w=")</f>
        <v>#VALUE!</v>
      </c>
      <c r="GH14" t="e">
        <f>AND(List1!H383,"AAAAAH72/70=")</f>
        <v>#VALUE!</v>
      </c>
      <c r="GI14" t="e">
        <f>AND(List1!I383,"AAAAAH72/74=")</f>
        <v>#VALUE!</v>
      </c>
      <c r="GJ14">
        <f>IF(List1!382:382,"AAAAAH72/78=",0)</f>
        <v>0</v>
      </c>
      <c r="GK14" t="e">
        <f>AND(List1!A384,"AAAAAH72/8A=")</f>
        <v>#VALUE!</v>
      </c>
      <c r="GL14" t="e">
        <f>AND(List1!B384,"AAAAAH72/8E=")</f>
        <v>#VALUE!</v>
      </c>
      <c r="GM14" t="e">
        <f>AND(List1!C384,"AAAAAH72/8I=")</f>
        <v>#VALUE!</v>
      </c>
      <c r="GN14" t="e">
        <f>AND(List1!E384,"AAAAAH72/8M=")</f>
        <v>#VALUE!</v>
      </c>
      <c r="GO14" t="e">
        <f>AND(List1!F384,"AAAAAH72/8Q=")</f>
        <v>#VALUE!</v>
      </c>
      <c r="GP14" t="e">
        <f>AND(List1!G384,"AAAAAH72/8U=")</f>
        <v>#VALUE!</v>
      </c>
      <c r="GQ14" t="e">
        <f>AND(List1!H384,"AAAAAH72/8Y=")</f>
        <v>#VALUE!</v>
      </c>
      <c r="GR14" t="e">
        <f>AND(List1!I384,"AAAAAH72/8c=")</f>
        <v>#VALUE!</v>
      </c>
      <c r="GS14">
        <f>IF(List1!383:383,"AAAAAH72/8g=",0)</f>
        <v>0</v>
      </c>
      <c r="GT14" t="e">
        <f>AND(List1!A385,"AAAAAH72/8k=")</f>
        <v>#VALUE!</v>
      </c>
      <c r="GU14" t="e">
        <f>AND(List1!B385,"AAAAAH72/8o=")</f>
        <v>#VALUE!</v>
      </c>
      <c r="GV14" t="e">
        <f>AND(List1!C385,"AAAAAH72/8s=")</f>
        <v>#VALUE!</v>
      </c>
      <c r="GW14" t="e">
        <f>AND(List1!E385,"AAAAAH72/8w=")</f>
        <v>#VALUE!</v>
      </c>
      <c r="GX14" t="e">
        <f>AND(List1!F385,"AAAAAH72/80=")</f>
        <v>#VALUE!</v>
      </c>
      <c r="GY14" t="e">
        <f>AND(List1!G385,"AAAAAH72/84=")</f>
        <v>#VALUE!</v>
      </c>
      <c r="GZ14" t="e">
        <f>AND(List1!H385,"AAAAAH72/88=")</f>
        <v>#VALUE!</v>
      </c>
      <c r="HA14" t="e">
        <f>AND(List1!I385,"AAAAAH72/9A=")</f>
        <v>#VALUE!</v>
      </c>
      <c r="HB14">
        <f>IF(List1!384:384,"AAAAAH72/9E=",0)</f>
        <v>0</v>
      </c>
      <c r="HC14" t="e">
        <f>AND(List1!A386,"AAAAAH72/9I=")</f>
        <v>#VALUE!</v>
      </c>
      <c r="HD14" t="e">
        <f>AND(List1!B386,"AAAAAH72/9M=")</f>
        <v>#VALUE!</v>
      </c>
      <c r="HE14" t="e">
        <f>AND(List1!C386,"AAAAAH72/9Q=")</f>
        <v>#VALUE!</v>
      </c>
      <c r="HF14" t="e">
        <f>AND(List1!E386,"AAAAAH72/9U=")</f>
        <v>#VALUE!</v>
      </c>
      <c r="HG14" t="e">
        <f>AND(List1!F386,"AAAAAH72/9Y=")</f>
        <v>#VALUE!</v>
      </c>
      <c r="HH14" t="e">
        <f>AND(List1!G386,"AAAAAH72/9c=")</f>
        <v>#VALUE!</v>
      </c>
      <c r="HI14" t="e">
        <f>AND(List1!H386,"AAAAAH72/9g=")</f>
        <v>#VALUE!</v>
      </c>
      <c r="HJ14" t="e">
        <f>AND(List1!I386,"AAAAAH72/9k=")</f>
        <v>#VALUE!</v>
      </c>
      <c r="HK14">
        <f>IF(List1!385:385,"AAAAAH72/9o=",0)</f>
        <v>0</v>
      </c>
      <c r="HL14" t="e">
        <f>AND(List1!A387,"AAAAAH72/9s=")</f>
        <v>#VALUE!</v>
      </c>
      <c r="HM14" t="e">
        <f>AND(List1!B387,"AAAAAH72/9w=")</f>
        <v>#VALUE!</v>
      </c>
      <c r="HN14" t="e">
        <f>AND(List1!C387,"AAAAAH72/90=")</f>
        <v>#VALUE!</v>
      </c>
      <c r="HO14" t="e">
        <f>AND(List1!E387,"AAAAAH72/94=")</f>
        <v>#VALUE!</v>
      </c>
      <c r="HP14" t="e">
        <f>AND(List1!F387,"AAAAAH72/98=")</f>
        <v>#VALUE!</v>
      </c>
      <c r="HQ14" t="e">
        <f>AND(List1!G387,"AAAAAH72/+A=")</f>
        <v>#VALUE!</v>
      </c>
      <c r="HR14" t="e">
        <f>AND(List1!H387,"AAAAAH72/+E=")</f>
        <v>#VALUE!</v>
      </c>
      <c r="HS14" t="e">
        <f>AND(List1!I387,"AAAAAH72/+I=")</f>
        <v>#VALUE!</v>
      </c>
      <c r="HT14">
        <f>IF(List1!386:386,"AAAAAH72/+M=",0)</f>
        <v>0</v>
      </c>
      <c r="HU14" t="e">
        <f>AND(List1!A388,"AAAAAH72/+Q=")</f>
        <v>#VALUE!</v>
      </c>
      <c r="HV14" t="e">
        <f>AND(List1!B388,"AAAAAH72/+U=")</f>
        <v>#VALUE!</v>
      </c>
      <c r="HW14" t="e">
        <f>AND(List1!C388,"AAAAAH72/+Y=")</f>
        <v>#VALUE!</v>
      </c>
      <c r="HX14" t="e">
        <f>AND(List1!E388,"AAAAAH72/+c=")</f>
        <v>#VALUE!</v>
      </c>
      <c r="HY14" t="e">
        <f>AND(List1!F388,"AAAAAH72/+g=")</f>
        <v>#VALUE!</v>
      </c>
      <c r="HZ14" t="e">
        <f>AND(List1!G388,"AAAAAH72/+k=")</f>
        <v>#VALUE!</v>
      </c>
      <c r="IA14" t="e">
        <f>AND(List1!H388,"AAAAAH72/+o=")</f>
        <v>#VALUE!</v>
      </c>
      <c r="IB14" t="e">
        <f>AND(List1!I388,"AAAAAH72/+s=")</f>
        <v>#VALUE!</v>
      </c>
      <c r="IC14">
        <f>IF(List1!387:387,"AAAAAH72/+w=",0)</f>
        <v>0</v>
      </c>
      <c r="ID14" t="e">
        <f>AND(List1!A389,"AAAAAH72/+0=")</f>
        <v>#VALUE!</v>
      </c>
      <c r="IE14" t="e">
        <f>AND(List1!B389,"AAAAAH72/+4=")</f>
        <v>#VALUE!</v>
      </c>
      <c r="IF14" t="e">
        <f>AND(List1!C389,"AAAAAH72/+8=")</f>
        <v>#VALUE!</v>
      </c>
      <c r="IG14" t="e">
        <f>AND(List1!E389,"AAAAAH72//A=")</f>
        <v>#VALUE!</v>
      </c>
      <c r="IH14" t="e">
        <f>AND(List1!F389,"AAAAAH72//E=")</f>
        <v>#VALUE!</v>
      </c>
      <c r="II14" t="e">
        <f>AND(List1!G389,"AAAAAH72//I=")</f>
        <v>#VALUE!</v>
      </c>
      <c r="IJ14" t="e">
        <f>AND(List1!H389,"AAAAAH72//M=")</f>
        <v>#VALUE!</v>
      </c>
      <c r="IK14" t="e">
        <f>AND(List1!I389,"AAAAAH72//Q=")</f>
        <v>#VALUE!</v>
      </c>
      <c r="IL14">
        <f>IF(List1!388:388,"AAAAAH72//U=",0)</f>
        <v>0</v>
      </c>
      <c r="IM14" t="e">
        <f>AND(List1!A390,"AAAAAH72//Y=")</f>
        <v>#VALUE!</v>
      </c>
      <c r="IN14" t="e">
        <f>AND(List1!B390,"AAAAAH72//c=")</f>
        <v>#VALUE!</v>
      </c>
      <c r="IO14" t="e">
        <f>AND(List1!C390,"AAAAAH72//g=")</f>
        <v>#VALUE!</v>
      </c>
      <c r="IP14" t="e">
        <f>AND(List1!E390,"AAAAAH72//k=")</f>
        <v>#VALUE!</v>
      </c>
      <c r="IQ14" t="e">
        <f>AND(List1!F390,"AAAAAH72//o=")</f>
        <v>#VALUE!</v>
      </c>
      <c r="IR14" t="e">
        <f>AND(List1!G390,"AAAAAH72//s=")</f>
        <v>#VALUE!</v>
      </c>
      <c r="IS14" t="e">
        <f>AND(List1!H390,"AAAAAH72//w=")</f>
        <v>#VALUE!</v>
      </c>
      <c r="IT14" t="e">
        <f>AND(List1!I390,"AAAAAH72//0=")</f>
        <v>#VALUE!</v>
      </c>
      <c r="IU14">
        <f>IF(List1!389:389,"AAAAAH72//4=",0)</f>
        <v>0</v>
      </c>
      <c r="IV14" t="e">
        <f>AND(List1!A391,"AAAAAH72//8=")</f>
        <v>#VALUE!</v>
      </c>
    </row>
    <row r="15" spans="1:256" ht="12.75">
      <c r="A15" t="e">
        <f>AND(List1!B391,"AAAAAD8+9wA=")</f>
        <v>#VALUE!</v>
      </c>
      <c r="B15" t="e">
        <f>AND(List1!C391,"AAAAAD8+9wE=")</f>
        <v>#VALUE!</v>
      </c>
      <c r="C15" t="e">
        <f>AND(List1!E391,"AAAAAD8+9wI=")</f>
        <v>#VALUE!</v>
      </c>
      <c r="D15" t="e">
        <f>AND(List1!F391,"AAAAAD8+9wM=")</f>
        <v>#VALUE!</v>
      </c>
      <c r="E15" t="e">
        <f>AND(List1!G391,"AAAAAD8+9wQ=")</f>
        <v>#VALUE!</v>
      </c>
      <c r="F15" t="e">
        <f>AND(List1!H391,"AAAAAD8+9wU=")</f>
        <v>#VALUE!</v>
      </c>
      <c r="G15" t="e">
        <f>AND(List1!I391,"AAAAAD8+9wY=")</f>
        <v>#VALUE!</v>
      </c>
      <c r="H15">
        <f>IF(List1!390:390,"AAAAAD8+9wc=",0)</f>
        <v>0</v>
      </c>
      <c r="I15" t="e">
        <f>AND(List1!A392,"AAAAAD8+9wg=")</f>
        <v>#VALUE!</v>
      </c>
      <c r="J15" t="e">
        <f>AND(List1!B392,"AAAAAD8+9wk=")</f>
        <v>#VALUE!</v>
      </c>
      <c r="K15" t="e">
        <f>AND(List1!C392,"AAAAAD8+9wo=")</f>
        <v>#VALUE!</v>
      </c>
      <c r="L15" t="e">
        <f>AND(List1!E392,"AAAAAD8+9ws=")</f>
        <v>#VALUE!</v>
      </c>
      <c r="M15" t="e">
        <f>AND(List1!F392,"AAAAAD8+9ww=")</f>
        <v>#VALUE!</v>
      </c>
      <c r="N15" t="e">
        <f>AND(List1!G392,"AAAAAD8+9w0=")</f>
        <v>#VALUE!</v>
      </c>
      <c r="O15" t="e">
        <f>AND(List1!H392,"AAAAAD8+9w4=")</f>
        <v>#VALUE!</v>
      </c>
      <c r="P15" t="e">
        <f>AND(List1!I392,"AAAAAD8+9w8=")</f>
        <v>#VALUE!</v>
      </c>
      <c r="Q15">
        <f>IF(List1!391:391,"AAAAAD8+9xA=",0)</f>
        <v>0</v>
      </c>
      <c r="R15" t="e">
        <f>AND(List1!A393,"AAAAAD8+9xE=")</f>
        <v>#VALUE!</v>
      </c>
      <c r="S15" t="e">
        <f>AND(List1!B393,"AAAAAD8+9xI=")</f>
        <v>#VALUE!</v>
      </c>
      <c r="T15" t="e">
        <f>AND(List1!C393,"AAAAAD8+9xM=")</f>
        <v>#VALUE!</v>
      </c>
      <c r="U15" t="e">
        <f>AND(List1!E393,"AAAAAD8+9xQ=")</f>
        <v>#VALUE!</v>
      </c>
      <c r="V15" t="e">
        <f>AND(List1!F393,"AAAAAD8+9xU=")</f>
        <v>#VALUE!</v>
      </c>
      <c r="W15" t="e">
        <f>AND(List1!G393,"AAAAAD8+9xY=")</f>
        <v>#VALUE!</v>
      </c>
      <c r="X15" t="e">
        <f>AND(List1!H393,"AAAAAD8+9xc=")</f>
        <v>#VALUE!</v>
      </c>
      <c r="Y15" t="e">
        <f>AND(List1!I393,"AAAAAD8+9xg=")</f>
        <v>#VALUE!</v>
      </c>
      <c r="Z15">
        <f>IF(List1!392:392,"AAAAAD8+9xk=",0)</f>
        <v>0</v>
      </c>
      <c r="AA15" t="e">
        <f>AND(List1!A394,"AAAAAD8+9xo=")</f>
        <v>#VALUE!</v>
      </c>
      <c r="AB15" t="e">
        <f>AND(List1!B394,"AAAAAD8+9xs=")</f>
        <v>#VALUE!</v>
      </c>
      <c r="AC15" t="e">
        <f>AND(List1!C394,"AAAAAD8+9xw=")</f>
        <v>#VALUE!</v>
      </c>
      <c r="AD15" t="e">
        <f>AND(List1!E394,"AAAAAD8+9x0=")</f>
        <v>#VALUE!</v>
      </c>
      <c r="AE15" t="e">
        <f>AND(List1!F394,"AAAAAD8+9x4=")</f>
        <v>#VALUE!</v>
      </c>
      <c r="AF15" t="e">
        <f>AND(List1!G394,"AAAAAD8+9x8=")</f>
        <v>#VALUE!</v>
      </c>
      <c r="AG15" t="e">
        <f>AND(List1!H394,"AAAAAD8+9yA=")</f>
        <v>#VALUE!</v>
      </c>
      <c r="AH15" t="e">
        <f>AND(List1!I394,"AAAAAD8+9yE=")</f>
        <v>#VALUE!</v>
      </c>
      <c r="AI15">
        <f>IF(List1!393:393,"AAAAAD8+9yI=",0)</f>
        <v>0</v>
      </c>
      <c r="AJ15" t="e">
        <f>AND(List1!A395,"AAAAAD8+9yM=")</f>
        <v>#VALUE!</v>
      </c>
      <c r="AK15" t="e">
        <f>AND(List1!B395,"AAAAAD8+9yQ=")</f>
        <v>#VALUE!</v>
      </c>
      <c r="AL15" t="e">
        <f>AND(List1!C395,"AAAAAD8+9yU=")</f>
        <v>#VALUE!</v>
      </c>
      <c r="AM15" t="e">
        <f>AND(List1!E395,"AAAAAD8+9yY=")</f>
        <v>#VALUE!</v>
      </c>
      <c r="AN15" t="e">
        <f>AND(List1!F395,"AAAAAD8+9yc=")</f>
        <v>#VALUE!</v>
      </c>
      <c r="AO15" t="e">
        <f>AND(List1!G395,"AAAAAD8+9yg=")</f>
        <v>#VALUE!</v>
      </c>
      <c r="AP15" t="e">
        <f>AND(List1!H395,"AAAAAD8+9yk=")</f>
        <v>#VALUE!</v>
      </c>
      <c r="AQ15" t="e">
        <f>AND(List1!I395,"AAAAAD8+9yo=")</f>
        <v>#VALUE!</v>
      </c>
      <c r="AR15">
        <f>IF(List1!394:394,"AAAAAD8+9ys=",0)</f>
        <v>0</v>
      </c>
      <c r="AS15" t="e">
        <f>AND(List1!A396,"AAAAAD8+9yw=")</f>
        <v>#VALUE!</v>
      </c>
      <c r="AT15" t="e">
        <f>AND(List1!B396,"AAAAAD8+9y0=")</f>
        <v>#VALUE!</v>
      </c>
      <c r="AU15" t="e">
        <f>AND(List1!C396,"AAAAAD8+9y4=")</f>
        <v>#VALUE!</v>
      </c>
      <c r="AV15" t="e">
        <f>AND(List1!E396,"AAAAAD8+9y8=")</f>
        <v>#VALUE!</v>
      </c>
      <c r="AW15" t="e">
        <f>AND(List1!F396,"AAAAAD8+9zA=")</f>
        <v>#VALUE!</v>
      </c>
      <c r="AX15" t="e">
        <f>AND(List1!G396,"AAAAAD8+9zE=")</f>
        <v>#VALUE!</v>
      </c>
      <c r="AY15" t="e">
        <f>AND(List1!H396,"AAAAAD8+9zI=")</f>
        <v>#VALUE!</v>
      </c>
      <c r="AZ15" t="e">
        <f>AND(List1!I396,"AAAAAD8+9zM=")</f>
        <v>#VALUE!</v>
      </c>
      <c r="BA15">
        <f>IF(List1!395:395,"AAAAAD8+9zQ=",0)</f>
        <v>0</v>
      </c>
      <c r="BB15" t="e">
        <f>AND(List1!A397,"AAAAAD8+9zU=")</f>
        <v>#VALUE!</v>
      </c>
      <c r="BC15" t="e">
        <f>AND(List1!B397,"AAAAAD8+9zY=")</f>
        <v>#VALUE!</v>
      </c>
      <c r="BD15" t="e">
        <f>AND(List1!C397,"AAAAAD8+9zc=")</f>
        <v>#VALUE!</v>
      </c>
      <c r="BE15" t="e">
        <f>AND(List1!E397,"AAAAAD8+9zg=")</f>
        <v>#VALUE!</v>
      </c>
      <c r="BF15" t="e">
        <f>AND(List1!F397,"AAAAAD8+9zk=")</f>
        <v>#VALUE!</v>
      </c>
      <c r="BG15" t="e">
        <f>AND(List1!G397,"AAAAAD8+9zo=")</f>
        <v>#VALUE!</v>
      </c>
      <c r="BH15" t="e">
        <f>AND(List1!H397,"AAAAAD8+9zs=")</f>
        <v>#VALUE!</v>
      </c>
      <c r="BI15" t="e">
        <f>AND(List1!I397,"AAAAAD8+9zw=")</f>
        <v>#VALUE!</v>
      </c>
      <c r="BJ15">
        <f>IF(List1!396:396,"AAAAAD8+9z0=",0)</f>
        <v>0</v>
      </c>
      <c r="BK15" t="e">
        <f>AND(List1!A398,"AAAAAD8+9z4=")</f>
        <v>#VALUE!</v>
      </c>
      <c r="BL15" t="e">
        <f>AND(List1!B398,"AAAAAD8+9z8=")</f>
        <v>#VALUE!</v>
      </c>
      <c r="BM15" t="e">
        <f>AND(List1!C398,"AAAAAD8+90A=")</f>
        <v>#VALUE!</v>
      </c>
      <c r="BN15" t="e">
        <f>AND(List1!E398,"AAAAAD8+90E=")</f>
        <v>#VALUE!</v>
      </c>
      <c r="BO15" t="e">
        <f>AND(List1!F398,"AAAAAD8+90I=")</f>
        <v>#VALUE!</v>
      </c>
      <c r="BP15" t="e">
        <f>AND(List1!G398,"AAAAAD8+90M=")</f>
        <v>#VALUE!</v>
      </c>
      <c r="BQ15" t="e">
        <f>AND(List1!H398,"AAAAAD8+90Q=")</f>
        <v>#VALUE!</v>
      </c>
      <c r="BR15" t="e">
        <f>AND(List1!I398,"AAAAAD8+90U=")</f>
        <v>#VALUE!</v>
      </c>
      <c r="BS15">
        <f>IF(List1!397:397,"AAAAAD8+90Y=",0)</f>
        <v>0</v>
      </c>
      <c r="BT15" t="e">
        <f>AND(List1!A399,"AAAAAD8+90c=")</f>
        <v>#VALUE!</v>
      </c>
      <c r="BU15" t="e">
        <f>AND(List1!B399,"AAAAAD8+90g=")</f>
        <v>#VALUE!</v>
      </c>
      <c r="BV15" t="e">
        <f>AND(List1!C399,"AAAAAD8+90k=")</f>
        <v>#VALUE!</v>
      </c>
      <c r="BW15" t="e">
        <f>AND(List1!E399,"AAAAAD8+90o=")</f>
        <v>#VALUE!</v>
      </c>
      <c r="BX15" t="e">
        <f>AND(List1!F399,"AAAAAD8+90s=")</f>
        <v>#VALUE!</v>
      </c>
      <c r="BY15" t="e">
        <f>AND(List1!G399,"AAAAAD8+90w=")</f>
        <v>#VALUE!</v>
      </c>
      <c r="BZ15" t="e">
        <f>AND(List1!H399,"AAAAAD8+900=")</f>
        <v>#VALUE!</v>
      </c>
      <c r="CA15" t="e">
        <f>AND(List1!I399,"AAAAAD8+904=")</f>
        <v>#VALUE!</v>
      </c>
      <c r="CB15">
        <f>IF(List1!398:398,"AAAAAD8+908=",0)</f>
        <v>0</v>
      </c>
      <c r="CC15" t="e">
        <f>AND(List1!A400,"AAAAAD8+91A=")</f>
        <v>#VALUE!</v>
      </c>
      <c r="CD15" t="e">
        <f>AND(List1!B400,"AAAAAD8+91E=")</f>
        <v>#VALUE!</v>
      </c>
      <c r="CE15" t="e">
        <f>AND(List1!C400,"AAAAAD8+91I=")</f>
        <v>#VALUE!</v>
      </c>
      <c r="CF15" t="e">
        <f>AND(List1!E400,"AAAAAD8+91M=")</f>
        <v>#VALUE!</v>
      </c>
      <c r="CG15" t="e">
        <f>AND(List1!F400,"AAAAAD8+91Q=")</f>
        <v>#VALUE!</v>
      </c>
      <c r="CH15" t="e">
        <f>AND(List1!G400,"AAAAAD8+91U=")</f>
        <v>#VALUE!</v>
      </c>
      <c r="CI15" t="e">
        <f>AND(List1!H400,"AAAAAD8+91Y=")</f>
        <v>#VALUE!</v>
      </c>
      <c r="CJ15" t="e">
        <f>AND(List1!I400,"AAAAAD8+91c=")</f>
        <v>#VALUE!</v>
      </c>
      <c r="CK15">
        <f>IF(List1!399:399,"AAAAAD8+91g=",0)</f>
        <v>0</v>
      </c>
      <c r="CL15" t="e">
        <f>AND(List1!A401,"AAAAAD8+91k=")</f>
        <v>#VALUE!</v>
      </c>
      <c r="CM15" t="e">
        <f>AND(List1!B401,"AAAAAD8+91o=")</f>
        <v>#VALUE!</v>
      </c>
      <c r="CN15" t="e">
        <f>AND(List1!C401,"AAAAAD8+91s=")</f>
        <v>#VALUE!</v>
      </c>
      <c r="CO15" t="e">
        <f>AND(List1!E401,"AAAAAD8+91w=")</f>
        <v>#VALUE!</v>
      </c>
      <c r="CP15" t="e">
        <f>AND(List1!F401,"AAAAAD8+910=")</f>
        <v>#VALUE!</v>
      </c>
      <c r="CQ15" t="e">
        <f>AND(List1!G401,"AAAAAD8+914=")</f>
        <v>#VALUE!</v>
      </c>
      <c r="CR15" t="e">
        <f>AND(List1!H401,"AAAAAD8+918=")</f>
        <v>#VALUE!</v>
      </c>
      <c r="CS15" t="e">
        <f>AND(List1!I401,"AAAAAD8+92A=")</f>
        <v>#VALUE!</v>
      </c>
      <c r="CT15">
        <f>IF(List1!400:400,"AAAAAD8+92E=",0)</f>
        <v>0</v>
      </c>
      <c r="CU15" t="e">
        <f>AND(List1!A402,"AAAAAD8+92I=")</f>
        <v>#VALUE!</v>
      </c>
      <c r="CV15" t="e">
        <f>AND(List1!B402,"AAAAAD8+92M=")</f>
        <v>#VALUE!</v>
      </c>
      <c r="CW15" t="e">
        <f>AND(List1!C402,"AAAAAD8+92Q=")</f>
        <v>#VALUE!</v>
      </c>
      <c r="CX15" t="e">
        <f>AND(List1!E402,"AAAAAD8+92U=")</f>
        <v>#VALUE!</v>
      </c>
      <c r="CY15" t="e">
        <f>AND(List1!F402,"AAAAAD8+92Y=")</f>
        <v>#VALUE!</v>
      </c>
      <c r="CZ15" t="e">
        <f>AND(List1!G402,"AAAAAD8+92c=")</f>
        <v>#VALUE!</v>
      </c>
      <c r="DA15" t="e">
        <f>AND(List1!H402,"AAAAAD8+92g=")</f>
        <v>#VALUE!</v>
      </c>
      <c r="DB15" t="e">
        <f>AND(List1!I402,"AAAAAD8+92k=")</f>
        <v>#VALUE!</v>
      </c>
      <c r="DC15">
        <f>IF(List1!401:401,"AAAAAD8+92o=",0)</f>
        <v>0</v>
      </c>
      <c r="DD15" t="e">
        <f>AND(List1!A403,"AAAAAD8+92s=")</f>
        <v>#VALUE!</v>
      </c>
      <c r="DE15" t="e">
        <f>AND(List1!B403,"AAAAAD8+92w=")</f>
        <v>#VALUE!</v>
      </c>
      <c r="DF15" t="e">
        <f>AND(List1!C403,"AAAAAD8+920=")</f>
        <v>#VALUE!</v>
      </c>
      <c r="DG15" t="e">
        <f>AND(List1!E403,"AAAAAD8+924=")</f>
        <v>#VALUE!</v>
      </c>
      <c r="DH15" t="e">
        <f>AND(List1!F403,"AAAAAD8+928=")</f>
        <v>#VALUE!</v>
      </c>
      <c r="DI15" t="e">
        <f>AND(List1!G403,"AAAAAD8+93A=")</f>
        <v>#VALUE!</v>
      </c>
      <c r="DJ15" t="e">
        <f>AND(List1!H403,"AAAAAD8+93E=")</f>
        <v>#VALUE!</v>
      </c>
      <c r="DK15" t="e">
        <f>AND(List1!I403,"AAAAAD8+93I=")</f>
        <v>#VALUE!</v>
      </c>
      <c r="DL15">
        <f>IF(List1!402:402,"AAAAAD8+93M=",0)</f>
        <v>0</v>
      </c>
      <c r="DM15" t="e">
        <f>AND(List1!A404,"AAAAAD8+93Q=")</f>
        <v>#VALUE!</v>
      </c>
      <c r="DN15" t="e">
        <f>AND(List1!B404,"AAAAAD8+93U=")</f>
        <v>#VALUE!</v>
      </c>
      <c r="DO15" t="e">
        <f>AND(List1!C404,"AAAAAD8+93Y=")</f>
        <v>#VALUE!</v>
      </c>
      <c r="DP15" t="e">
        <f>AND(List1!E404,"AAAAAD8+93c=")</f>
        <v>#VALUE!</v>
      </c>
      <c r="DQ15" t="e">
        <f>AND(List1!F404,"AAAAAD8+93g=")</f>
        <v>#VALUE!</v>
      </c>
      <c r="DR15" t="e">
        <f>AND(List1!G404,"AAAAAD8+93k=")</f>
        <v>#VALUE!</v>
      </c>
      <c r="DS15" t="e">
        <f>AND(List1!H404,"AAAAAD8+93o=")</f>
        <v>#VALUE!</v>
      </c>
      <c r="DT15" t="e">
        <f>AND(List1!I404,"AAAAAD8+93s=")</f>
        <v>#VALUE!</v>
      </c>
      <c r="DU15">
        <f>IF(List1!403:403,"AAAAAD8+93w=",0)</f>
        <v>0</v>
      </c>
      <c r="DV15" t="e">
        <f>AND(List1!A405,"AAAAAD8+930=")</f>
        <v>#VALUE!</v>
      </c>
      <c r="DW15" t="e">
        <f>AND(List1!B405,"AAAAAD8+934=")</f>
        <v>#VALUE!</v>
      </c>
      <c r="DX15" t="e">
        <f>AND(List1!C405,"AAAAAD8+938=")</f>
        <v>#VALUE!</v>
      </c>
      <c r="DY15" t="e">
        <f>AND(List1!E405,"AAAAAD8+94A=")</f>
        <v>#VALUE!</v>
      </c>
      <c r="DZ15" t="e">
        <f>AND(List1!F405,"AAAAAD8+94E=")</f>
        <v>#VALUE!</v>
      </c>
      <c r="EA15" t="e">
        <f>AND(List1!G405,"AAAAAD8+94I=")</f>
        <v>#VALUE!</v>
      </c>
      <c r="EB15" t="e">
        <f>AND(List1!H405,"AAAAAD8+94M=")</f>
        <v>#VALUE!</v>
      </c>
      <c r="EC15" t="e">
        <f>AND(List1!I405,"AAAAAD8+94Q=")</f>
        <v>#VALUE!</v>
      </c>
      <c r="ED15">
        <f>IF(List1!404:404,"AAAAAD8+94U=",0)</f>
        <v>0</v>
      </c>
      <c r="EE15" t="e">
        <f>AND(List1!A406,"AAAAAD8+94Y=")</f>
        <v>#VALUE!</v>
      </c>
      <c r="EF15" t="e">
        <f>AND(List1!B406,"AAAAAD8+94c=")</f>
        <v>#VALUE!</v>
      </c>
      <c r="EG15" t="e">
        <f>AND(List1!C406,"AAAAAD8+94g=")</f>
        <v>#VALUE!</v>
      </c>
      <c r="EH15" t="e">
        <f>AND(List1!E406,"AAAAAD8+94k=")</f>
        <v>#VALUE!</v>
      </c>
      <c r="EI15" t="e">
        <f>AND(List1!F406,"AAAAAD8+94o=")</f>
        <v>#VALUE!</v>
      </c>
      <c r="EJ15" t="e">
        <f>AND(List1!G406,"AAAAAD8+94s=")</f>
        <v>#VALUE!</v>
      </c>
      <c r="EK15" t="e">
        <f>AND(List1!H406,"AAAAAD8+94w=")</f>
        <v>#VALUE!</v>
      </c>
      <c r="EL15" t="e">
        <f>AND(List1!I406,"AAAAAD8+940=")</f>
        <v>#VALUE!</v>
      </c>
      <c r="EM15">
        <f>IF(List1!405:405,"AAAAAD8+944=",0)</f>
        <v>0</v>
      </c>
      <c r="EN15" t="e">
        <f>AND(List1!A407,"AAAAAD8+948=")</f>
        <v>#VALUE!</v>
      </c>
      <c r="EO15" t="e">
        <f>AND(List1!B407,"AAAAAD8+95A=")</f>
        <v>#VALUE!</v>
      </c>
      <c r="EP15" t="e">
        <f>AND(List1!C407,"AAAAAD8+95E=")</f>
        <v>#VALUE!</v>
      </c>
      <c r="EQ15" t="e">
        <f>AND(List1!E407,"AAAAAD8+95I=")</f>
        <v>#VALUE!</v>
      </c>
      <c r="ER15" t="e">
        <f>AND(List1!F407,"AAAAAD8+95M=")</f>
        <v>#VALUE!</v>
      </c>
      <c r="ES15" t="e">
        <f>AND(List1!G407,"AAAAAD8+95Q=")</f>
        <v>#VALUE!</v>
      </c>
      <c r="ET15" t="e">
        <f>AND(List1!H407,"AAAAAD8+95U=")</f>
        <v>#VALUE!</v>
      </c>
      <c r="EU15" t="e">
        <f>AND(List1!I407,"AAAAAD8+95Y=")</f>
        <v>#VALUE!</v>
      </c>
      <c r="EV15">
        <f>IF(List1!406:406,"AAAAAD8+95c=",0)</f>
        <v>0</v>
      </c>
      <c r="EW15" t="e">
        <f>AND(List1!A408,"AAAAAD8+95g=")</f>
        <v>#VALUE!</v>
      </c>
      <c r="EX15" t="e">
        <f>AND(List1!B408,"AAAAAD8+95k=")</f>
        <v>#VALUE!</v>
      </c>
      <c r="EY15" t="e">
        <f>AND(List1!C408,"AAAAAD8+95o=")</f>
        <v>#VALUE!</v>
      </c>
      <c r="EZ15" t="e">
        <f>AND(List1!E408,"AAAAAD8+95s=")</f>
        <v>#VALUE!</v>
      </c>
      <c r="FA15" t="e">
        <f>AND(List1!F408,"AAAAAD8+95w=")</f>
        <v>#VALUE!</v>
      </c>
      <c r="FB15" t="e">
        <f>AND(List1!G408,"AAAAAD8+950=")</f>
        <v>#VALUE!</v>
      </c>
      <c r="FC15" t="e">
        <f>AND(List1!H408,"AAAAAD8+954=")</f>
        <v>#VALUE!</v>
      </c>
      <c r="FD15" t="e">
        <f>AND(List1!I408,"AAAAAD8+958=")</f>
        <v>#VALUE!</v>
      </c>
      <c r="FE15">
        <f>IF(List1!407:407,"AAAAAD8+96A=",0)</f>
        <v>0</v>
      </c>
      <c r="FF15" t="e">
        <f>AND(List1!A409,"AAAAAD8+96E=")</f>
        <v>#VALUE!</v>
      </c>
      <c r="FG15" t="e">
        <f>AND(List1!B409,"AAAAAD8+96I=")</f>
        <v>#VALUE!</v>
      </c>
      <c r="FH15" t="e">
        <f>AND(List1!C409,"AAAAAD8+96M=")</f>
        <v>#VALUE!</v>
      </c>
      <c r="FI15" t="e">
        <f>AND(List1!E409,"AAAAAD8+96Q=")</f>
        <v>#VALUE!</v>
      </c>
      <c r="FJ15" t="e">
        <f>AND(List1!F409,"AAAAAD8+96U=")</f>
        <v>#VALUE!</v>
      </c>
      <c r="FK15" t="e">
        <f>AND(List1!G409,"AAAAAD8+96Y=")</f>
        <v>#VALUE!</v>
      </c>
      <c r="FL15" t="e">
        <f>AND(List1!H409,"AAAAAD8+96c=")</f>
        <v>#VALUE!</v>
      </c>
      <c r="FM15" t="e">
        <f>AND(List1!I409,"AAAAAD8+96g=")</f>
        <v>#VALUE!</v>
      </c>
      <c r="FN15">
        <f>IF(List1!408:408,"AAAAAD8+96k=",0)</f>
        <v>0</v>
      </c>
      <c r="FO15" t="e">
        <f>AND(List1!A410,"AAAAAD8+96o=")</f>
        <v>#VALUE!</v>
      </c>
      <c r="FP15" t="e">
        <f>AND(List1!B410,"AAAAAD8+96s=")</f>
        <v>#VALUE!</v>
      </c>
      <c r="FQ15" t="e">
        <f>AND(List1!C410,"AAAAAD8+96w=")</f>
        <v>#VALUE!</v>
      </c>
      <c r="FR15" t="e">
        <f>AND(List1!E410,"AAAAAD8+960=")</f>
        <v>#VALUE!</v>
      </c>
      <c r="FS15" t="e">
        <f>AND(List1!F410,"AAAAAD8+964=")</f>
        <v>#VALUE!</v>
      </c>
      <c r="FT15" t="e">
        <f>AND(List1!G410,"AAAAAD8+968=")</f>
        <v>#VALUE!</v>
      </c>
      <c r="FU15" t="e">
        <f>AND(List1!H410,"AAAAAD8+97A=")</f>
        <v>#VALUE!</v>
      </c>
      <c r="FV15" t="e">
        <f>AND(List1!I410,"AAAAAD8+97E=")</f>
        <v>#VALUE!</v>
      </c>
      <c r="FW15">
        <f>IF(List1!409:409,"AAAAAD8+97I=",0)</f>
        <v>0</v>
      </c>
      <c r="FX15" t="e">
        <f>AND(List1!A411,"AAAAAD8+97M=")</f>
        <v>#VALUE!</v>
      </c>
      <c r="FY15" t="e">
        <f>AND(List1!B411,"AAAAAD8+97Q=")</f>
        <v>#VALUE!</v>
      </c>
      <c r="FZ15" t="e">
        <f>AND(List1!C411,"AAAAAD8+97U=")</f>
        <v>#VALUE!</v>
      </c>
      <c r="GA15" t="e">
        <f>AND(List1!E411,"AAAAAD8+97Y=")</f>
        <v>#VALUE!</v>
      </c>
      <c r="GB15" t="e">
        <f>AND(List1!F411,"AAAAAD8+97c=")</f>
        <v>#VALUE!</v>
      </c>
      <c r="GC15" t="e">
        <f>AND(List1!G411,"AAAAAD8+97g=")</f>
        <v>#VALUE!</v>
      </c>
      <c r="GD15" t="e">
        <f>AND(List1!H411,"AAAAAD8+97k=")</f>
        <v>#VALUE!</v>
      </c>
      <c r="GE15" t="e">
        <f>AND(List1!I411,"AAAAAD8+97o=")</f>
        <v>#VALUE!</v>
      </c>
      <c r="GF15">
        <f>IF(List1!410:410,"AAAAAD8+97s=",0)</f>
        <v>0</v>
      </c>
      <c r="GG15" t="e">
        <f>AND(List1!A412,"AAAAAD8+97w=")</f>
        <v>#VALUE!</v>
      </c>
      <c r="GH15" t="e">
        <f>AND(List1!B412,"AAAAAD8+970=")</f>
        <v>#VALUE!</v>
      </c>
      <c r="GI15" t="e">
        <f>AND(List1!C412,"AAAAAD8+974=")</f>
        <v>#VALUE!</v>
      </c>
      <c r="GJ15" t="e">
        <f>AND(List1!E412,"AAAAAD8+978=")</f>
        <v>#VALUE!</v>
      </c>
      <c r="GK15" t="e">
        <f>AND(List1!F412,"AAAAAD8+98A=")</f>
        <v>#VALUE!</v>
      </c>
      <c r="GL15" t="e">
        <f>AND(List1!G412,"AAAAAD8+98E=")</f>
        <v>#VALUE!</v>
      </c>
      <c r="GM15" t="e">
        <f>AND(List1!H412,"AAAAAD8+98I=")</f>
        <v>#VALUE!</v>
      </c>
      <c r="GN15" t="e">
        <f>AND(List1!I412,"AAAAAD8+98M=")</f>
        <v>#VALUE!</v>
      </c>
      <c r="GO15">
        <f>IF(List1!411:411,"AAAAAD8+98Q=",0)</f>
        <v>0</v>
      </c>
      <c r="GP15" t="e">
        <f>AND(List1!A413,"AAAAAD8+98U=")</f>
        <v>#VALUE!</v>
      </c>
      <c r="GQ15" t="e">
        <f>AND(List1!B413,"AAAAAD8+98Y=")</f>
        <v>#VALUE!</v>
      </c>
      <c r="GR15" t="e">
        <f>AND(List1!C413,"AAAAAD8+98c=")</f>
        <v>#VALUE!</v>
      </c>
      <c r="GS15" t="e">
        <f>AND(List1!E413,"AAAAAD8+98g=")</f>
        <v>#VALUE!</v>
      </c>
      <c r="GT15" t="e">
        <f>AND(List1!F413,"AAAAAD8+98k=")</f>
        <v>#VALUE!</v>
      </c>
      <c r="GU15" t="e">
        <f>AND(List1!G413,"AAAAAD8+98o=")</f>
        <v>#VALUE!</v>
      </c>
      <c r="GV15" t="e">
        <f>AND(List1!H413,"AAAAAD8+98s=")</f>
        <v>#VALUE!</v>
      </c>
      <c r="GW15" t="e">
        <f>AND(List1!I413,"AAAAAD8+98w=")</f>
        <v>#VALUE!</v>
      </c>
      <c r="GX15">
        <f>IF(List1!412:412,"AAAAAD8+980=",0)</f>
        <v>0</v>
      </c>
      <c r="GY15" t="e">
        <f>AND(List1!A414,"AAAAAD8+984=")</f>
        <v>#VALUE!</v>
      </c>
      <c r="GZ15" t="e">
        <f>AND(List1!B414,"AAAAAD8+988=")</f>
        <v>#VALUE!</v>
      </c>
      <c r="HA15" t="e">
        <f>AND(List1!C414,"AAAAAD8+99A=")</f>
        <v>#VALUE!</v>
      </c>
      <c r="HB15" t="e">
        <f>AND(List1!E414,"AAAAAD8+99E=")</f>
        <v>#VALUE!</v>
      </c>
      <c r="HC15" t="e">
        <f>AND(List1!F414,"AAAAAD8+99I=")</f>
        <v>#VALUE!</v>
      </c>
      <c r="HD15" t="e">
        <f>AND(List1!G414,"AAAAAD8+99M=")</f>
        <v>#VALUE!</v>
      </c>
      <c r="HE15" t="e">
        <f>AND(List1!H414,"AAAAAD8+99Q=")</f>
        <v>#VALUE!</v>
      </c>
      <c r="HF15" t="e">
        <f>AND(List1!I414,"AAAAAD8+99U=")</f>
        <v>#VALUE!</v>
      </c>
      <c r="HG15">
        <f>IF(List1!413:413,"AAAAAD8+99Y=",0)</f>
        <v>0</v>
      </c>
      <c r="HH15" t="e">
        <f>AND(List1!A415,"AAAAAD8+99c=")</f>
        <v>#VALUE!</v>
      </c>
      <c r="HI15" t="e">
        <f>AND(List1!B415,"AAAAAD8+99g=")</f>
        <v>#VALUE!</v>
      </c>
      <c r="HJ15" t="e">
        <f>AND(List1!C415,"AAAAAD8+99k=")</f>
        <v>#VALUE!</v>
      </c>
      <c r="HK15" t="e">
        <f>AND(List1!E415,"AAAAAD8+99o=")</f>
        <v>#VALUE!</v>
      </c>
      <c r="HL15" t="e">
        <f>AND(List1!F415,"AAAAAD8+99s=")</f>
        <v>#VALUE!</v>
      </c>
      <c r="HM15" t="e">
        <f>AND(List1!G415,"AAAAAD8+99w=")</f>
        <v>#VALUE!</v>
      </c>
      <c r="HN15" t="e">
        <f>AND(List1!H415,"AAAAAD8+990=")</f>
        <v>#VALUE!</v>
      </c>
      <c r="HO15" t="e">
        <f>AND(List1!I415,"AAAAAD8+994=")</f>
        <v>#VALUE!</v>
      </c>
      <c r="HP15">
        <f>IF(List1!414:414,"AAAAAD8+998=",0)</f>
        <v>0</v>
      </c>
      <c r="HQ15" t="e">
        <f>AND(List1!A416,"AAAAAD8+9+A=")</f>
        <v>#VALUE!</v>
      </c>
      <c r="HR15" t="e">
        <f>AND(List1!B416,"AAAAAD8+9+E=")</f>
        <v>#VALUE!</v>
      </c>
      <c r="HS15" t="e">
        <f>AND(List1!C416,"AAAAAD8+9+I=")</f>
        <v>#VALUE!</v>
      </c>
      <c r="HT15" t="e">
        <f>AND(List1!E416,"AAAAAD8+9+M=")</f>
        <v>#VALUE!</v>
      </c>
      <c r="HU15" t="e">
        <f>AND(List1!F416,"AAAAAD8+9+Q=")</f>
        <v>#VALUE!</v>
      </c>
      <c r="HV15" t="e">
        <f>AND(List1!G416,"AAAAAD8+9+U=")</f>
        <v>#VALUE!</v>
      </c>
      <c r="HW15" t="e">
        <f>AND(List1!H416,"AAAAAD8+9+Y=")</f>
        <v>#VALUE!</v>
      </c>
      <c r="HX15" t="e">
        <f>AND(List1!I416,"AAAAAD8+9+c=")</f>
        <v>#VALUE!</v>
      </c>
      <c r="HY15">
        <f>IF(List1!415:415,"AAAAAD8+9+g=",0)</f>
        <v>0</v>
      </c>
      <c r="HZ15" t="e">
        <f>AND(List1!A417,"AAAAAD8+9+k=")</f>
        <v>#VALUE!</v>
      </c>
      <c r="IA15" t="e">
        <f>AND(List1!B417,"AAAAAD8+9+o=")</f>
        <v>#VALUE!</v>
      </c>
      <c r="IB15" t="e">
        <f>AND(List1!C417,"AAAAAD8+9+s=")</f>
        <v>#VALUE!</v>
      </c>
      <c r="IC15" t="e">
        <f>AND(List1!E417,"AAAAAD8+9+w=")</f>
        <v>#VALUE!</v>
      </c>
      <c r="ID15" t="e">
        <f>AND(List1!F417,"AAAAAD8+9+0=")</f>
        <v>#VALUE!</v>
      </c>
      <c r="IE15" t="e">
        <f>AND(List1!G417,"AAAAAD8+9+4=")</f>
        <v>#VALUE!</v>
      </c>
      <c r="IF15" t="e">
        <f>AND(List1!H417,"AAAAAD8+9+8=")</f>
        <v>#VALUE!</v>
      </c>
      <c r="IG15" t="e">
        <f>AND(List1!I417,"AAAAAD8+9/A=")</f>
        <v>#VALUE!</v>
      </c>
      <c r="IH15">
        <f>IF(List1!416:416,"AAAAAD8+9/E=",0)</f>
        <v>0</v>
      </c>
      <c r="II15" t="e">
        <f>AND(List1!A418,"AAAAAD8+9/I=")</f>
        <v>#VALUE!</v>
      </c>
      <c r="IJ15" t="e">
        <f>AND(List1!B418,"AAAAAD8+9/M=")</f>
        <v>#VALUE!</v>
      </c>
      <c r="IK15" t="e">
        <f>AND(List1!C418,"AAAAAD8+9/Q=")</f>
        <v>#VALUE!</v>
      </c>
      <c r="IL15" t="e">
        <f>AND(List1!E418,"AAAAAD8+9/U=")</f>
        <v>#VALUE!</v>
      </c>
      <c r="IM15" t="e">
        <f>AND(List1!F418,"AAAAAD8+9/Y=")</f>
        <v>#VALUE!</v>
      </c>
      <c r="IN15" t="e">
        <f>AND(List1!G418,"AAAAAD8+9/c=")</f>
        <v>#VALUE!</v>
      </c>
      <c r="IO15" t="e">
        <f>AND(List1!H418,"AAAAAD8+9/g=")</f>
        <v>#VALUE!</v>
      </c>
      <c r="IP15" t="e">
        <f>AND(List1!I418,"AAAAAD8+9/k=")</f>
        <v>#VALUE!</v>
      </c>
      <c r="IQ15">
        <f>IF(List1!417:417,"AAAAAD8+9/o=",0)</f>
        <v>0</v>
      </c>
      <c r="IR15" t="e">
        <f>AND(List1!A419,"AAAAAD8+9/s=")</f>
        <v>#VALUE!</v>
      </c>
      <c r="IS15" t="e">
        <f>AND(List1!B419,"AAAAAD8+9/w=")</f>
        <v>#VALUE!</v>
      </c>
      <c r="IT15" t="e">
        <f>AND(List1!C419,"AAAAAD8+9/0=")</f>
        <v>#VALUE!</v>
      </c>
      <c r="IU15" t="e">
        <f>AND(List1!E419,"AAAAAD8+9/4=")</f>
        <v>#VALUE!</v>
      </c>
      <c r="IV15" t="e">
        <f>AND(List1!F419,"AAAAAD8+9/8=")</f>
        <v>#VALUE!</v>
      </c>
    </row>
    <row r="16" spans="1:256" ht="12.75">
      <c r="A16" t="e">
        <f>AND(List1!G419,"AAAAAD8b+wA=")</f>
        <v>#VALUE!</v>
      </c>
      <c r="B16" t="e">
        <f>AND(List1!H419,"AAAAAD8b+wE=")</f>
        <v>#VALUE!</v>
      </c>
      <c r="C16" t="e">
        <f>AND(List1!I419,"AAAAAD8b+wI=")</f>
        <v>#VALUE!</v>
      </c>
      <c r="D16" t="str">
        <f>IF(List1!418:418,"AAAAAD8b+wM=",0)</f>
        <v>AAAAAD8b+wM=</v>
      </c>
      <c r="E16" t="e">
        <f>AND(List1!A420,"AAAAAD8b+wQ=")</f>
        <v>#VALUE!</v>
      </c>
      <c r="F16" t="e">
        <f>AND(List1!B420,"AAAAAD8b+wU=")</f>
        <v>#VALUE!</v>
      </c>
      <c r="G16" t="e">
        <f>AND(List1!C420,"AAAAAD8b+wY=")</f>
        <v>#VALUE!</v>
      </c>
      <c r="H16" t="e">
        <f>AND(List1!E420,"AAAAAD8b+wc=")</f>
        <v>#VALUE!</v>
      </c>
      <c r="I16" t="e">
        <f>AND(List1!F420,"AAAAAD8b+wg=")</f>
        <v>#VALUE!</v>
      </c>
      <c r="J16" t="e">
        <f>AND(List1!G420,"AAAAAD8b+wk=")</f>
        <v>#VALUE!</v>
      </c>
      <c r="K16" t="e">
        <f>AND(List1!H420,"AAAAAD8b+wo=")</f>
        <v>#VALUE!</v>
      </c>
      <c r="L16" t="e">
        <f>AND(List1!I420,"AAAAAD8b+ws=")</f>
        <v>#VALUE!</v>
      </c>
      <c r="M16">
        <f>IF(List1!419:419,"AAAAAD8b+ww=",0)</f>
        <v>0</v>
      </c>
      <c r="N16" t="e">
        <f>AND(List1!A421,"AAAAAD8b+w0=")</f>
        <v>#VALUE!</v>
      </c>
      <c r="O16" t="e">
        <f>AND(List1!B421,"AAAAAD8b+w4=")</f>
        <v>#VALUE!</v>
      </c>
      <c r="P16" t="e">
        <f>AND(List1!C421,"AAAAAD8b+w8=")</f>
        <v>#VALUE!</v>
      </c>
      <c r="Q16" t="e">
        <f>AND(List1!E421,"AAAAAD8b+xA=")</f>
        <v>#VALUE!</v>
      </c>
      <c r="R16" t="e">
        <f>AND(List1!F421,"AAAAAD8b+xE=")</f>
        <v>#VALUE!</v>
      </c>
      <c r="S16" t="e">
        <f>AND(List1!G421,"AAAAAD8b+xI=")</f>
        <v>#VALUE!</v>
      </c>
      <c r="T16" t="e">
        <f>AND(List1!H421,"AAAAAD8b+xM=")</f>
        <v>#VALUE!</v>
      </c>
      <c r="U16" t="e">
        <f>AND(List1!I421,"AAAAAD8b+xQ=")</f>
        <v>#VALUE!</v>
      </c>
      <c r="V16">
        <f>IF(List1!420:420,"AAAAAD8b+xU=",0)</f>
        <v>0</v>
      </c>
      <c r="W16" t="e">
        <f>AND(List1!A424,"AAAAAD8b+xY=")</f>
        <v>#VALUE!</v>
      </c>
      <c r="X16" t="e">
        <f>AND(List1!B424,"AAAAAD8b+xc=")</f>
        <v>#VALUE!</v>
      </c>
      <c r="Y16" t="e">
        <f>AND(List1!C424,"AAAAAD8b+xg=")</f>
        <v>#VALUE!</v>
      </c>
      <c r="Z16" t="e">
        <f>AND(List1!E424,"AAAAAD8b+xk=")</f>
        <v>#VALUE!</v>
      </c>
      <c r="AA16" t="e">
        <f>AND(List1!F424,"AAAAAD8b+xo=")</f>
        <v>#VALUE!</v>
      </c>
      <c r="AB16" t="e">
        <f>AND(List1!G424,"AAAAAD8b+xs=")</f>
        <v>#VALUE!</v>
      </c>
      <c r="AC16" t="e">
        <f>AND(List1!H424,"AAAAAD8b+xw=")</f>
        <v>#VALUE!</v>
      </c>
      <c r="AD16" t="e">
        <f>AND(List1!I424,"AAAAAD8b+x0=")</f>
        <v>#VALUE!</v>
      </c>
      <c r="AE16">
        <f>IF(List1!421:421,"AAAAAD8b+x4=",0)</f>
        <v>0</v>
      </c>
      <c r="AF16" t="e">
        <f>AND(List1!A425,"AAAAAD8b+x8=")</f>
        <v>#VALUE!</v>
      </c>
      <c r="AG16" t="e">
        <f>AND(List1!B425,"AAAAAD8b+yA=")</f>
        <v>#VALUE!</v>
      </c>
      <c r="AH16" t="e">
        <f>AND(List1!C425,"AAAAAD8b+yE=")</f>
        <v>#VALUE!</v>
      </c>
      <c r="AI16" t="e">
        <f>AND(List1!E425,"AAAAAD8b+yI=")</f>
        <v>#VALUE!</v>
      </c>
      <c r="AJ16" t="e">
        <f>AND(List1!F425,"AAAAAD8b+yM=")</f>
        <v>#VALUE!</v>
      </c>
      <c r="AK16" t="e">
        <f>AND(List1!G425,"AAAAAD8b+yQ=")</f>
        <v>#VALUE!</v>
      </c>
      <c r="AL16" t="e">
        <f>AND(List1!H425,"AAAAAD8b+yU=")</f>
        <v>#VALUE!</v>
      </c>
      <c r="AM16" t="e">
        <f>AND(List1!I425,"AAAAAD8b+yY=")</f>
        <v>#VALUE!</v>
      </c>
      <c r="AN16">
        <f>IF(List1!424:424,"AAAAAD8b+yc=",0)</f>
        <v>0</v>
      </c>
      <c r="AO16" t="e">
        <f>AND(List1!A426,"AAAAAD8b+yg=")</f>
        <v>#VALUE!</v>
      </c>
      <c r="AP16" t="e">
        <f>AND(List1!B426,"AAAAAD8b+yk=")</f>
        <v>#VALUE!</v>
      </c>
      <c r="AQ16" t="e">
        <f>AND(List1!C426,"AAAAAD8b+yo=")</f>
        <v>#VALUE!</v>
      </c>
      <c r="AR16" t="e">
        <f>AND(List1!E426,"AAAAAD8b+ys=")</f>
        <v>#VALUE!</v>
      </c>
      <c r="AS16" t="e">
        <f>AND(List1!F426,"AAAAAD8b+yw=")</f>
        <v>#VALUE!</v>
      </c>
      <c r="AT16" t="e">
        <f>AND(List1!G426,"AAAAAD8b+y0=")</f>
        <v>#VALUE!</v>
      </c>
      <c r="AU16" t="e">
        <f>AND(List1!H426,"AAAAAD8b+y4=")</f>
        <v>#VALUE!</v>
      </c>
      <c r="AV16" t="e">
        <f>AND(List1!I426,"AAAAAD8b+y8=")</f>
        <v>#VALUE!</v>
      </c>
      <c r="AW16">
        <f>IF(List1!425:425,"AAAAAD8b+zA=",0)</f>
        <v>0</v>
      </c>
      <c r="AX16" t="e">
        <f>AND(List1!A427,"AAAAAD8b+zE=")</f>
        <v>#VALUE!</v>
      </c>
      <c r="AY16" t="e">
        <f>AND(List1!B427,"AAAAAD8b+zI=")</f>
        <v>#VALUE!</v>
      </c>
      <c r="AZ16" t="e">
        <f>AND(List1!C427,"AAAAAD8b+zM=")</f>
        <v>#VALUE!</v>
      </c>
      <c r="BA16" t="e">
        <f>AND(List1!E427,"AAAAAD8b+zQ=")</f>
        <v>#VALUE!</v>
      </c>
      <c r="BB16" t="e">
        <f>AND(List1!F427,"AAAAAD8b+zU=")</f>
        <v>#VALUE!</v>
      </c>
      <c r="BC16" t="e">
        <f>AND(List1!G427,"AAAAAD8b+zY=")</f>
        <v>#VALUE!</v>
      </c>
      <c r="BD16" t="e">
        <f>AND(List1!H427,"AAAAAD8b+zc=")</f>
        <v>#VALUE!</v>
      </c>
      <c r="BE16" t="e">
        <f>AND(List1!I427,"AAAAAD8b+zg=")</f>
        <v>#VALUE!</v>
      </c>
      <c r="BF16">
        <f>IF(List1!426:426,"AAAAAD8b+zk=",0)</f>
        <v>0</v>
      </c>
      <c r="BG16" t="e">
        <f>AND(List1!A428,"AAAAAD8b+zo=")</f>
        <v>#VALUE!</v>
      </c>
      <c r="BH16" t="e">
        <f>AND(List1!B428,"AAAAAD8b+zs=")</f>
        <v>#VALUE!</v>
      </c>
      <c r="BI16" t="e">
        <f>AND(List1!C428,"AAAAAD8b+zw=")</f>
        <v>#VALUE!</v>
      </c>
      <c r="BJ16" t="e">
        <f>AND(List1!E428,"AAAAAD8b+z0=")</f>
        <v>#VALUE!</v>
      </c>
      <c r="BK16" t="e">
        <f>AND(List1!F428,"AAAAAD8b+z4=")</f>
        <v>#VALUE!</v>
      </c>
      <c r="BL16" t="e">
        <f>AND(List1!G428,"AAAAAD8b+z8=")</f>
        <v>#VALUE!</v>
      </c>
      <c r="BM16" t="e">
        <f>AND(List1!H428,"AAAAAD8b+0A=")</f>
        <v>#VALUE!</v>
      </c>
      <c r="BN16" t="e">
        <f>AND(List1!I428,"AAAAAD8b+0E=")</f>
        <v>#VALUE!</v>
      </c>
      <c r="BO16">
        <f>IF(List1!427:427,"AAAAAD8b+0I=",0)</f>
        <v>0</v>
      </c>
      <c r="BP16" t="e">
        <f>AND(List1!A429,"AAAAAD8b+0M=")</f>
        <v>#VALUE!</v>
      </c>
      <c r="BQ16" t="e">
        <f>AND(List1!B429,"AAAAAD8b+0Q=")</f>
        <v>#VALUE!</v>
      </c>
      <c r="BR16" t="e">
        <f>AND(List1!C429,"AAAAAD8b+0U=")</f>
        <v>#VALUE!</v>
      </c>
      <c r="BS16" t="e">
        <f>AND(List1!E429,"AAAAAD8b+0Y=")</f>
        <v>#VALUE!</v>
      </c>
      <c r="BT16" t="e">
        <f>AND(List1!F429,"AAAAAD8b+0c=")</f>
        <v>#VALUE!</v>
      </c>
      <c r="BU16" t="e">
        <f>AND(List1!G429,"AAAAAD8b+0g=")</f>
        <v>#VALUE!</v>
      </c>
      <c r="BV16" t="e">
        <f>AND(List1!H429,"AAAAAD8b+0k=")</f>
        <v>#VALUE!</v>
      </c>
      <c r="BW16" t="e">
        <f>AND(List1!I429,"AAAAAD8b+0o=")</f>
        <v>#VALUE!</v>
      </c>
      <c r="BX16">
        <f>IF(List1!428:428,"AAAAAD8b+0s=",0)</f>
        <v>0</v>
      </c>
      <c r="BY16" t="e">
        <f>AND(List1!A430,"AAAAAD8b+0w=")</f>
        <v>#VALUE!</v>
      </c>
      <c r="BZ16" t="e">
        <f>AND(List1!B430,"AAAAAD8b+00=")</f>
        <v>#VALUE!</v>
      </c>
      <c r="CA16" t="e">
        <f>AND(List1!C430,"AAAAAD8b+04=")</f>
        <v>#VALUE!</v>
      </c>
      <c r="CB16" t="e">
        <f>AND(List1!E430,"AAAAAD8b+08=")</f>
        <v>#VALUE!</v>
      </c>
      <c r="CC16" t="e">
        <f>AND(List1!F430,"AAAAAD8b+1A=")</f>
        <v>#VALUE!</v>
      </c>
      <c r="CD16" t="e">
        <f>AND(List1!G430,"AAAAAD8b+1E=")</f>
        <v>#VALUE!</v>
      </c>
      <c r="CE16" t="e">
        <f>AND(List1!H430,"AAAAAD8b+1I=")</f>
        <v>#VALUE!</v>
      </c>
      <c r="CF16" t="e">
        <f>AND(List1!I430,"AAAAAD8b+1M=")</f>
        <v>#VALUE!</v>
      </c>
      <c r="CG16">
        <f>IF(List1!429:429,"AAAAAD8b+1Q=",0)</f>
        <v>0</v>
      </c>
      <c r="CH16" t="e">
        <f>AND(List1!A431,"AAAAAD8b+1U=")</f>
        <v>#VALUE!</v>
      </c>
      <c r="CI16" t="e">
        <f>AND(List1!B431,"AAAAAD8b+1Y=")</f>
        <v>#VALUE!</v>
      </c>
      <c r="CJ16" t="e">
        <f>AND(List1!C431,"AAAAAD8b+1c=")</f>
        <v>#VALUE!</v>
      </c>
      <c r="CK16" t="e">
        <f>AND(List1!E431,"AAAAAD8b+1g=")</f>
        <v>#VALUE!</v>
      </c>
      <c r="CL16" t="e">
        <f>AND(List1!F431,"AAAAAD8b+1k=")</f>
        <v>#VALUE!</v>
      </c>
      <c r="CM16" t="e">
        <f>AND(List1!G431,"AAAAAD8b+1o=")</f>
        <v>#VALUE!</v>
      </c>
      <c r="CN16" t="e">
        <f>AND(List1!H431,"AAAAAD8b+1s=")</f>
        <v>#VALUE!</v>
      </c>
      <c r="CO16" t="e">
        <f>AND(List1!I431,"AAAAAD8b+1w=")</f>
        <v>#VALUE!</v>
      </c>
      <c r="CP16">
        <f>IF(List1!430:430,"AAAAAD8b+10=",0)</f>
        <v>0</v>
      </c>
      <c r="CQ16" t="e">
        <f>AND(List1!A432,"AAAAAD8b+14=")</f>
        <v>#VALUE!</v>
      </c>
      <c r="CR16" t="e">
        <f>AND(List1!B432,"AAAAAD8b+18=")</f>
        <v>#VALUE!</v>
      </c>
      <c r="CS16" t="e">
        <f>AND(List1!C432,"AAAAAD8b+2A=")</f>
        <v>#VALUE!</v>
      </c>
      <c r="CT16" t="e">
        <f>AND(List1!E432,"AAAAAD8b+2E=")</f>
        <v>#VALUE!</v>
      </c>
      <c r="CU16" t="e">
        <f>AND(List1!F432,"AAAAAD8b+2I=")</f>
        <v>#VALUE!</v>
      </c>
      <c r="CV16" t="e">
        <f>AND(List1!G432,"AAAAAD8b+2M=")</f>
        <v>#VALUE!</v>
      </c>
      <c r="CW16" t="e">
        <f>AND(List1!H432,"AAAAAD8b+2Q=")</f>
        <v>#VALUE!</v>
      </c>
      <c r="CX16" t="e">
        <f>AND(List1!I432,"AAAAAD8b+2U=")</f>
        <v>#VALUE!</v>
      </c>
      <c r="CY16">
        <f>IF(List1!431:431,"AAAAAD8b+2Y=",0)</f>
        <v>0</v>
      </c>
      <c r="CZ16" t="e">
        <f>AND(List1!A433,"AAAAAD8b+2c=")</f>
        <v>#VALUE!</v>
      </c>
      <c r="DA16" t="e">
        <f>AND(List1!B433,"AAAAAD8b+2g=")</f>
        <v>#VALUE!</v>
      </c>
      <c r="DB16" t="e">
        <f>AND(List1!C433,"AAAAAD8b+2k=")</f>
        <v>#VALUE!</v>
      </c>
      <c r="DC16" t="e">
        <f>AND(List1!E433,"AAAAAD8b+2o=")</f>
        <v>#VALUE!</v>
      </c>
      <c r="DD16" t="e">
        <f>AND(List1!F433,"AAAAAD8b+2s=")</f>
        <v>#VALUE!</v>
      </c>
      <c r="DE16" t="e">
        <f>AND(List1!G433,"AAAAAD8b+2w=")</f>
        <v>#VALUE!</v>
      </c>
      <c r="DF16" t="e">
        <f>AND(List1!H433,"AAAAAD8b+20=")</f>
        <v>#VALUE!</v>
      </c>
      <c r="DG16" t="e">
        <f>AND(List1!I433,"AAAAAD8b+24=")</f>
        <v>#VALUE!</v>
      </c>
      <c r="DH16">
        <f>IF(List1!432:432,"AAAAAD8b+28=",0)</f>
        <v>0</v>
      </c>
      <c r="DI16" t="e">
        <f>AND(List1!A434,"AAAAAD8b+3A=")</f>
        <v>#VALUE!</v>
      </c>
      <c r="DJ16" t="e">
        <f>AND(List1!B434,"AAAAAD8b+3E=")</f>
        <v>#VALUE!</v>
      </c>
      <c r="DK16" t="e">
        <f>AND(List1!C434,"AAAAAD8b+3I=")</f>
        <v>#VALUE!</v>
      </c>
      <c r="DL16" t="e">
        <f>AND(List1!E434,"AAAAAD8b+3M=")</f>
        <v>#VALUE!</v>
      </c>
      <c r="DM16" t="e">
        <f>AND(List1!F434,"AAAAAD8b+3Q=")</f>
        <v>#VALUE!</v>
      </c>
      <c r="DN16" t="e">
        <f>AND(List1!G434,"AAAAAD8b+3U=")</f>
        <v>#VALUE!</v>
      </c>
      <c r="DO16" t="e">
        <f>AND(List1!H434,"AAAAAD8b+3Y=")</f>
        <v>#VALUE!</v>
      </c>
      <c r="DP16" t="e">
        <f>AND(List1!I434,"AAAAAD8b+3c=")</f>
        <v>#VALUE!</v>
      </c>
      <c r="DQ16">
        <f>IF(List1!433:433,"AAAAAD8b+3g=",0)</f>
        <v>0</v>
      </c>
      <c r="DR16" t="e">
        <f>AND(List1!A435,"AAAAAD8b+3k=")</f>
        <v>#VALUE!</v>
      </c>
      <c r="DS16" t="e">
        <f>AND(List1!B435,"AAAAAD8b+3o=")</f>
        <v>#VALUE!</v>
      </c>
      <c r="DT16" t="e">
        <f>AND(List1!C435,"AAAAAD8b+3s=")</f>
        <v>#VALUE!</v>
      </c>
      <c r="DU16" t="e">
        <f>AND(List1!E435,"AAAAAD8b+3w=")</f>
        <v>#VALUE!</v>
      </c>
      <c r="DV16" t="e">
        <f>AND(List1!F435,"AAAAAD8b+30=")</f>
        <v>#VALUE!</v>
      </c>
      <c r="DW16" t="e">
        <f>AND(List1!G435,"AAAAAD8b+34=")</f>
        <v>#VALUE!</v>
      </c>
      <c r="DX16" t="e">
        <f>AND(List1!H435,"AAAAAD8b+38=")</f>
        <v>#VALUE!</v>
      </c>
      <c r="DY16" t="e">
        <f>AND(List1!I435,"AAAAAD8b+4A=")</f>
        <v>#VALUE!</v>
      </c>
      <c r="DZ16">
        <f>IF(List1!434:434,"AAAAAD8b+4E=",0)</f>
        <v>0</v>
      </c>
      <c r="EA16" t="e">
        <f>AND(List1!A436,"AAAAAD8b+4I=")</f>
        <v>#VALUE!</v>
      </c>
      <c r="EB16" t="e">
        <f>AND(List1!B436,"AAAAAD8b+4M=")</f>
        <v>#VALUE!</v>
      </c>
      <c r="EC16" t="e">
        <f>AND(List1!C436,"AAAAAD8b+4Q=")</f>
        <v>#VALUE!</v>
      </c>
      <c r="ED16" t="e">
        <f>AND(List1!E436,"AAAAAD8b+4U=")</f>
        <v>#VALUE!</v>
      </c>
      <c r="EE16" t="e">
        <f>AND(List1!F436,"AAAAAD8b+4Y=")</f>
        <v>#VALUE!</v>
      </c>
      <c r="EF16" t="e">
        <f>AND(List1!G436,"AAAAAD8b+4c=")</f>
        <v>#VALUE!</v>
      </c>
      <c r="EG16" t="e">
        <f>AND(List1!H436,"AAAAAD8b+4g=")</f>
        <v>#VALUE!</v>
      </c>
      <c r="EH16" t="e">
        <f>AND(List1!I436,"AAAAAD8b+4k=")</f>
        <v>#VALUE!</v>
      </c>
      <c r="EI16">
        <f>IF(List1!435:435,"AAAAAD8b+4o=",0)</f>
        <v>0</v>
      </c>
      <c r="EJ16" t="e">
        <f>AND(List1!A437,"AAAAAD8b+4s=")</f>
        <v>#VALUE!</v>
      </c>
      <c r="EK16" t="e">
        <f>AND(List1!B437,"AAAAAD8b+4w=")</f>
        <v>#VALUE!</v>
      </c>
      <c r="EL16" t="e">
        <f>AND(List1!C437,"AAAAAD8b+40=")</f>
        <v>#VALUE!</v>
      </c>
      <c r="EM16" t="e">
        <f>AND(List1!E437,"AAAAAD8b+44=")</f>
        <v>#VALUE!</v>
      </c>
      <c r="EN16" t="e">
        <f>AND(List1!F437,"AAAAAD8b+48=")</f>
        <v>#VALUE!</v>
      </c>
      <c r="EO16" t="e">
        <f>AND(List1!G437,"AAAAAD8b+5A=")</f>
        <v>#VALUE!</v>
      </c>
      <c r="EP16" t="e">
        <f>AND(List1!H437,"AAAAAD8b+5E=")</f>
        <v>#VALUE!</v>
      </c>
      <c r="EQ16" t="e">
        <f>AND(List1!I437,"AAAAAD8b+5I=")</f>
        <v>#VALUE!</v>
      </c>
      <c r="ER16">
        <f>IF(List1!436:436,"AAAAAD8b+5M=",0)</f>
        <v>0</v>
      </c>
      <c r="ES16" t="e">
        <f>AND(List1!A438,"AAAAAD8b+5Q=")</f>
        <v>#VALUE!</v>
      </c>
      <c r="ET16" t="e">
        <f>AND(List1!B438,"AAAAAD8b+5U=")</f>
        <v>#VALUE!</v>
      </c>
      <c r="EU16" t="e">
        <f>AND(List1!C438,"AAAAAD8b+5Y=")</f>
        <v>#VALUE!</v>
      </c>
      <c r="EV16" t="e">
        <f>AND(List1!E438,"AAAAAD8b+5c=")</f>
        <v>#VALUE!</v>
      </c>
      <c r="EW16" t="e">
        <f>AND(List1!F438,"AAAAAD8b+5g=")</f>
        <v>#VALUE!</v>
      </c>
      <c r="EX16" t="e">
        <f>AND(List1!G438,"AAAAAD8b+5k=")</f>
        <v>#VALUE!</v>
      </c>
      <c r="EY16" t="e">
        <f>AND(List1!H438,"AAAAAD8b+5o=")</f>
        <v>#VALUE!</v>
      </c>
      <c r="EZ16" t="e">
        <f>AND(List1!I438,"AAAAAD8b+5s=")</f>
        <v>#VALUE!</v>
      </c>
      <c r="FA16">
        <f>IF(List1!437:437,"AAAAAD8b+5w=",0)</f>
        <v>0</v>
      </c>
      <c r="FB16" t="e">
        <f>AND(List1!A439,"AAAAAD8b+50=")</f>
        <v>#VALUE!</v>
      </c>
      <c r="FC16" t="e">
        <f>AND(List1!B439,"AAAAAD8b+54=")</f>
        <v>#VALUE!</v>
      </c>
      <c r="FD16" t="e">
        <f>AND(List1!C439,"AAAAAD8b+58=")</f>
        <v>#VALUE!</v>
      </c>
      <c r="FE16" t="e">
        <f>AND(List1!E439,"AAAAAD8b+6A=")</f>
        <v>#VALUE!</v>
      </c>
      <c r="FF16" t="e">
        <f>AND(List1!F439,"AAAAAD8b+6E=")</f>
        <v>#VALUE!</v>
      </c>
      <c r="FG16" t="e">
        <f>AND(List1!G439,"AAAAAD8b+6I=")</f>
        <v>#VALUE!</v>
      </c>
      <c r="FH16" t="e">
        <f>AND(List1!H439,"AAAAAD8b+6M=")</f>
        <v>#VALUE!</v>
      </c>
      <c r="FI16" t="e">
        <f>AND(List1!I439,"AAAAAD8b+6Q=")</f>
        <v>#VALUE!</v>
      </c>
      <c r="FJ16">
        <f>IF(List1!438:438,"AAAAAD8b+6U=",0)</f>
        <v>0</v>
      </c>
      <c r="FK16" t="e">
        <f>AND(List1!A440,"AAAAAD8b+6Y=")</f>
        <v>#VALUE!</v>
      </c>
      <c r="FL16" t="e">
        <f>AND(List1!B440,"AAAAAD8b+6c=")</f>
        <v>#VALUE!</v>
      </c>
      <c r="FM16" t="e">
        <f>AND(List1!C440,"AAAAAD8b+6g=")</f>
        <v>#VALUE!</v>
      </c>
      <c r="FN16" t="e">
        <f>AND(List1!E440,"AAAAAD8b+6k=")</f>
        <v>#VALUE!</v>
      </c>
      <c r="FO16" t="e">
        <f>AND(List1!F440,"AAAAAD8b+6o=")</f>
        <v>#VALUE!</v>
      </c>
      <c r="FP16" t="e">
        <f>AND(List1!G440,"AAAAAD8b+6s=")</f>
        <v>#VALUE!</v>
      </c>
      <c r="FQ16" t="e">
        <f>AND(List1!H440,"AAAAAD8b+6w=")</f>
        <v>#VALUE!</v>
      </c>
      <c r="FR16" t="e">
        <f>AND(List1!I440,"AAAAAD8b+60=")</f>
        <v>#VALUE!</v>
      </c>
      <c r="FS16">
        <f>IF(List1!439:439,"AAAAAD8b+64=",0)</f>
        <v>0</v>
      </c>
      <c r="FT16" t="e">
        <f>AND(List1!A441,"AAAAAD8b+68=")</f>
        <v>#VALUE!</v>
      </c>
      <c r="FU16" t="e">
        <f>AND(List1!B441,"AAAAAD8b+7A=")</f>
        <v>#VALUE!</v>
      </c>
      <c r="FV16" t="e">
        <f>AND(List1!C441,"AAAAAD8b+7E=")</f>
        <v>#VALUE!</v>
      </c>
      <c r="FW16" t="e">
        <f>AND(List1!E441,"AAAAAD8b+7I=")</f>
        <v>#VALUE!</v>
      </c>
      <c r="FX16" t="e">
        <f>AND(List1!F441,"AAAAAD8b+7M=")</f>
        <v>#VALUE!</v>
      </c>
      <c r="FY16" t="e">
        <f>AND(List1!G441,"AAAAAD8b+7Q=")</f>
        <v>#VALUE!</v>
      </c>
      <c r="FZ16" t="e">
        <f>AND(List1!H441,"AAAAAD8b+7U=")</f>
        <v>#VALUE!</v>
      </c>
      <c r="GA16" t="e">
        <f>AND(List1!I441,"AAAAAD8b+7Y=")</f>
        <v>#VALUE!</v>
      </c>
      <c r="GB16">
        <f>IF(List1!440:440,"AAAAAD8b+7c=",0)</f>
        <v>0</v>
      </c>
      <c r="GC16" t="e">
        <f>AND(List1!A442,"AAAAAD8b+7g=")</f>
        <v>#VALUE!</v>
      </c>
      <c r="GD16" t="e">
        <f>AND(List1!B442,"AAAAAD8b+7k=")</f>
        <v>#VALUE!</v>
      </c>
      <c r="GE16" t="e">
        <f>AND(List1!C442,"AAAAAD8b+7o=")</f>
        <v>#VALUE!</v>
      </c>
      <c r="GF16" t="e">
        <f>AND(List1!E442,"AAAAAD8b+7s=")</f>
        <v>#VALUE!</v>
      </c>
      <c r="GG16" t="e">
        <f>AND(List1!F442,"AAAAAD8b+7w=")</f>
        <v>#VALUE!</v>
      </c>
      <c r="GH16" t="e">
        <f>AND(List1!G442,"AAAAAD8b+70=")</f>
        <v>#VALUE!</v>
      </c>
      <c r="GI16" t="e">
        <f>AND(List1!H442,"AAAAAD8b+74=")</f>
        <v>#VALUE!</v>
      </c>
      <c r="GJ16" t="e">
        <f>AND(List1!I442,"AAAAAD8b+78=")</f>
        <v>#VALUE!</v>
      </c>
      <c r="GK16">
        <f>IF(List1!441:441,"AAAAAD8b+8A=",0)</f>
        <v>0</v>
      </c>
      <c r="GL16" t="e">
        <f>AND(List1!A443,"AAAAAD8b+8E=")</f>
        <v>#VALUE!</v>
      </c>
      <c r="GM16" t="e">
        <f>AND(List1!B443,"AAAAAD8b+8I=")</f>
        <v>#VALUE!</v>
      </c>
      <c r="GN16" t="e">
        <f>AND(List1!C443,"AAAAAD8b+8M=")</f>
        <v>#VALUE!</v>
      </c>
      <c r="GO16" t="e">
        <f>AND(List1!E443,"AAAAAD8b+8Q=")</f>
        <v>#VALUE!</v>
      </c>
      <c r="GP16" t="e">
        <f>AND(List1!F443,"AAAAAD8b+8U=")</f>
        <v>#VALUE!</v>
      </c>
      <c r="GQ16" t="e">
        <f>AND(List1!G443,"AAAAAD8b+8Y=")</f>
        <v>#VALUE!</v>
      </c>
      <c r="GR16" t="e">
        <f>AND(List1!H443,"AAAAAD8b+8c=")</f>
        <v>#VALUE!</v>
      </c>
      <c r="GS16" t="e">
        <f>AND(List1!I443,"AAAAAD8b+8g=")</f>
        <v>#VALUE!</v>
      </c>
      <c r="GT16">
        <f>IF(List1!442:442,"AAAAAD8b+8k=",0)</f>
        <v>0</v>
      </c>
      <c r="GU16" t="e">
        <f>AND(List1!A444,"AAAAAD8b+8o=")</f>
        <v>#VALUE!</v>
      </c>
      <c r="GV16" t="e">
        <f>AND(List1!B444,"AAAAAD8b+8s=")</f>
        <v>#VALUE!</v>
      </c>
      <c r="GW16" t="e">
        <f>AND(List1!C444,"AAAAAD8b+8w=")</f>
        <v>#VALUE!</v>
      </c>
      <c r="GX16" t="e">
        <f>AND(List1!E444,"AAAAAD8b+80=")</f>
        <v>#VALUE!</v>
      </c>
      <c r="GY16" t="e">
        <f>AND(List1!F444,"AAAAAD8b+84=")</f>
        <v>#VALUE!</v>
      </c>
      <c r="GZ16" t="e">
        <f>AND(List1!G444,"AAAAAD8b+88=")</f>
        <v>#VALUE!</v>
      </c>
      <c r="HA16" t="e">
        <f>AND(List1!H444,"AAAAAD8b+9A=")</f>
        <v>#VALUE!</v>
      </c>
      <c r="HB16" t="e">
        <f>AND(List1!I444,"AAAAAD8b+9E=")</f>
        <v>#VALUE!</v>
      </c>
      <c r="HC16">
        <f>IF(List1!443:443,"AAAAAD8b+9I=",0)</f>
        <v>0</v>
      </c>
      <c r="HD16" t="e">
        <f>AND(List1!A445,"AAAAAD8b+9M=")</f>
        <v>#VALUE!</v>
      </c>
      <c r="HE16" t="e">
        <f>AND(List1!B445,"AAAAAD8b+9Q=")</f>
        <v>#VALUE!</v>
      </c>
      <c r="HF16" t="e">
        <f>AND(List1!C445,"AAAAAD8b+9U=")</f>
        <v>#VALUE!</v>
      </c>
      <c r="HG16" t="e">
        <f>AND(List1!E445,"AAAAAD8b+9Y=")</f>
        <v>#VALUE!</v>
      </c>
      <c r="HH16" t="e">
        <f>AND(List1!F445,"AAAAAD8b+9c=")</f>
        <v>#VALUE!</v>
      </c>
      <c r="HI16" t="e">
        <f>AND(List1!G445,"AAAAAD8b+9g=")</f>
        <v>#VALUE!</v>
      </c>
      <c r="HJ16" t="e">
        <f>AND(List1!H445,"AAAAAD8b+9k=")</f>
        <v>#VALUE!</v>
      </c>
      <c r="HK16" t="e">
        <f>AND(List1!I445,"AAAAAD8b+9o=")</f>
        <v>#VALUE!</v>
      </c>
      <c r="HL16">
        <f>IF(List1!444:444,"AAAAAD8b+9s=",0)</f>
        <v>0</v>
      </c>
      <c r="HM16" t="e">
        <f>AND(List1!A446,"AAAAAD8b+9w=")</f>
        <v>#VALUE!</v>
      </c>
      <c r="HN16" t="e">
        <f>AND(List1!B446,"AAAAAD8b+90=")</f>
        <v>#VALUE!</v>
      </c>
      <c r="HO16" t="e">
        <f>AND(List1!C446,"AAAAAD8b+94=")</f>
        <v>#VALUE!</v>
      </c>
      <c r="HP16" t="e">
        <f>AND(List1!E446,"AAAAAD8b+98=")</f>
        <v>#VALUE!</v>
      </c>
      <c r="HQ16" t="e">
        <f>AND(List1!F446,"AAAAAD8b++A=")</f>
        <v>#VALUE!</v>
      </c>
      <c r="HR16" t="e">
        <f>AND(List1!G446,"AAAAAD8b++E=")</f>
        <v>#VALUE!</v>
      </c>
      <c r="HS16" t="e">
        <f>AND(List1!H446,"AAAAAD8b++I=")</f>
        <v>#VALUE!</v>
      </c>
      <c r="HT16" t="e">
        <f>AND(List1!I446,"AAAAAD8b++M=")</f>
        <v>#VALUE!</v>
      </c>
      <c r="HU16">
        <f>IF(List1!445:445,"AAAAAD8b++Q=",0)</f>
        <v>0</v>
      </c>
      <c r="HV16" t="e">
        <f>AND(List1!A447,"AAAAAD8b++U=")</f>
        <v>#VALUE!</v>
      </c>
      <c r="HW16" t="e">
        <f>AND(List1!B447,"AAAAAD8b++Y=")</f>
        <v>#VALUE!</v>
      </c>
      <c r="HX16" t="e">
        <f>AND(List1!C447,"AAAAAD8b++c=")</f>
        <v>#VALUE!</v>
      </c>
      <c r="HY16" t="e">
        <f>AND(List1!E447,"AAAAAD8b++g=")</f>
        <v>#VALUE!</v>
      </c>
      <c r="HZ16" t="e">
        <f>AND(List1!F447,"AAAAAD8b++k=")</f>
        <v>#VALUE!</v>
      </c>
      <c r="IA16" t="e">
        <f>AND(List1!G447,"AAAAAD8b++o=")</f>
        <v>#VALUE!</v>
      </c>
      <c r="IB16" t="e">
        <f>AND(List1!H447,"AAAAAD8b++s=")</f>
        <v>#VALUE!</v>
      </c>
      <c r="IC16" t="e">
        <f>AND(List1!I447,"AAAAAD8b++w=")</f>
        <v>#VALUE!</v>
      </c>
      <c r="ID16">
        <f>IF(List1!446:446,"AAAAAD8b++0=",0)</f>
        <v>0</v>
      </c>
      <c r="IE16" t="e">
        <f>AND(List1!A448,"AAAAAD8b++4=")</f>
        <v>#VALUE!</v>
      </c>
      <c r="IF16" t="e">
        <f>AND(List1!B448,"AAAAAD8b++8=")</f>
        <v>#VALUE!</v>
      </c>
      <c r="IG16" t="e">
        <f>AND(List1!C448,"AAAAAD8b+/A=")</f>
        <v>#VALUE!</v>
      </c>
      <c r="IH16" t="e">
        <f>AND(List1!E448,"AAAAAD8b+/E=")</f>
        <v>#VALUE!</v>
      </c>
      <c r="II16" t="e">
        <f>AND(List1!F448,"AAAAAD8b+/I=")</f>
        <v>#VALUE!</v>
      </c>
      <c r="IJ16" t="e">
        <f>AND(List1!G448,"AAAAAD8b+/M=")</f>
        <v>#VALUE!</v>
      </c>
      <c r="IK16" t="e">
        <f>AND(List1!H448,"AAAAAD8b+/Q=")</f>
        <v>#VALUE!</v>
      </c>
      <c r="IL16" t="e">
        <f>AND(List1!I448,"AAAAAD8b+/U=")</f>
        <v>#VALUE!</v>
      </c>
      <c r="IM16">
        <f>IF(List1!447:447,"AAAAAD8b+/Y=",0)</f>
        <v>0</v>
      </c>
      <c r="IN16" t="e">
        <f>AND(List1!A449,"AAAAAD8b+/c=")</f>
        <v>#VALUE!</v>
      </c>
      <c r="IO16" t="e">
        <f>AND(List1!B449,"AAAAAD8b+/g=")</f>
        <v>#VALUE!</v>
      </c>
      <c r="IP16" t="e">
        <f>AND(List1!C449,"AAAAAD8b+/k=")</f>
        <v>#VALUE!</v>
      </c>
      <c r="IQ16" t="e">
        <f>AND(List1!E449,"AAAAAD8b+/o=")</f>
        <v>#VALUE!</v>
      </c>
      <c r="IR16" t="e">
        <f>AND(List1!F449,"AAAAAD8b+/s=")</f>
        <v>#VALUE!</v>
      </c>
      <c r="IS16" t="e">
        <f>AND(List1!G449,"AAAAAD8b+/w=")</f>
        <v>#VALUE!</v>
      </c>
      <c r="IT16" t="e">
        <f>AND(List1!H449,"AAAAAD8b+/0=")</f>
        <v>#VALUE!</v>
      </c>
      <c r="IU16" t="e">
        <f>AND(List1!I449,"AAAAAD8b+/4=")</f>
        <v>#VALUE!</v>
      </c>
      <c r="IV16">
        <f>IF(List1!448:448,"AAAAAD8b+/8=",0)</f>
        <v>0</v>
      </c>
    </row>
    <row r="17" spans="1:256" ht="12.75">
      <c r="A17" t="e">
        <f>AND(List1!A450,"AAAAAE/1fQA=")</f>
        <v>#VALUE!</v>
      </c>
      <c r="B17" t="e">
        <f>AND(List1!B450,"AAAAAE/1fQE=")</f>
        <v>#VALUE!</v>
      </c>
      <c r="C17" t="e">
        <f>AND(List1!C450,"AAAAAE/1fQI=")</f>
        <v>#VALUE!</v>
      </c>
      <c r="D17" t="e">
        <f>AND(List1!E450,"AAAAAE/1fQM=")</f>
        <v>#VALUE!</v>
      </c>
      <c r="E17" t="e">
        <f>AND(List1!F450,"AAAAAE/1fQQ=")</f>
        <v>#VALUE!</v>
      </c>
      <c r="F17" t="e">
        <f>AND(List1!G450,"AAAAAE/1fQU=")</f>
        <v>#VALUE!</v>
      </c>
      <c r="G17" t="e">
        <f>AND(List1!H450,"AAAAAE/1fQY=")</f>
        <v>#VALUE!</v>
      </c>
      <c r="H17" t="e">
        <f>AND(List1!I450,"AAAAAE/1fQc=")</f>
        <v>#VALUE!</v>
      </c>
      <c r="I17">
        <f>IF(List1!449:449,"AAAAAE/1fQg=",0)</f>
        <v>0</v>
      </c>
      <c r="J17" t="e">
        <f>AND(List1!A451,"AAAAAE/1fQk=")</f>
        <v>#VALUE!</v>
      </c>
      <c r="K17" t="e">
        <f>AND(List1!B451,"AAAAAE/1fQo=")</f>
        <v>#VALUE!</v>
      </c>
      <c r="L17" t="e">
        <f>AND(List1!C451,"AAAAAE/1fQs=")</f>
        <v>#VALUE!</v>
      </c>
      <c r="M17" t="e">
        <f>AND(List1!E451,"AAAAAE/1fQw=")</f>
        <v>#VALUE!</v>
      </c>
      <c r="N17" t="e">
        <f>AND(List1!F451,"AAAAAE/1fQ0=")</f>
        <v>#VALUE!</v>
      </c>
      <c r="O17" t="e">
        <f>AND(List1!G451,"AAAAAE/1fQ4=")</f>
        <v>#VALUE!</v>
      </c>
      <c r="P17" t="e">
        <f>AND(List1!H451,"AAAAAE/1fQ8=")</f>
        <v>#VALUE!</v>
      </c>
      <c r="Q17" t="e">
        <f>AND(List1!I451,"AAAAAE/1fRA=")</f>
        <v>#VALUE!</v>
      </c>
      <c r="R17">
        <f>IF(List1!450:450,"AAAAAE/1fRE=",0)</f>
        <v>0</v>
      </c>
      <c r="S17" t="e">
        <f>AND(List1!A452,"AAAAAE/1fRI=")</f>
        <v>#VALUE!</v>
      </c>
      <c r="T17" t="e">
        <f>AND(List1!B452,"AAAAAE/1fRM=")</f>
        <v>#VALUE!</v>
      </c>
      <c r="U17" t="e">
        <f>AND(List1!C452,"AAAAAE/1fRQ=")</f>
        <v>#VALUE!</v>
      </c>
      <c r="V17" t="e">
        <f>AND(List1!E452,"AAAAAE/1fRU=")</f>
        <v>#VALUE!</v>
      </c>
      <c r="W17" t="e">
        <f>AND(List1!F452,"AAAAAE/1fRY=")</f>
        <v>#VALUE!</v>
      </c>
      <c r="X17" t="e">
        <f>AND(List1!G452,"AAAAAE/1fRc=")</f>
        <v>#VALUE!</v>
      </c>
      <c r="Y17" t="e">
        <f>AND(List1!H452,"AAAAAE/1fRg=")</f>
        <v>#VALUE!</v>
      </c>
      <c r="Z17" t="e">
        <f>AND(List1!I452,"AAAAAE/1fRk=")</f>
        <v>#VALUE!</v>
      </c>
      <c r="AA17">
        <f>IF(List1!451:451,"AAAAAE/1fRo=",0)</f>
        <v>0</v>
      </c>
      <c r="AB17" t="e">
        <f>AND(List1!A453,"AAAAAE/1fRs=")</f>
        <v>#VALUE!</v>
      </c>
      <c r="AC17" t="e">
        <f>AND(List1!B453,"AAAAAE/1fRw=")</f>
        <v>#VALUE!</v>
      </c>
      <c r="AD17" t="e">
        <f>AND(List1!C453,"AAAAAE/1fR0=")</f>
        <v>#VALUE!</v>
      </c>
      <c r="AE17" t="e">
        <f>AND(List1!E453,"AAAAAE/1fR4=")</f>
        <v>#VALUE!</v>
      </c>
      <c r="AF17" t="e">
        <f>AND(List1!F453,"AAAAAE/1fR8=")</f>
        <v>#VALUE!</v>
      </c>
      <c r="AG17" t="e">
        <f>AND(List1!G453,"AAAAAE/1fSA=")</f>
        <v>#VALUE!</v>
      </c>
      <c r="AH17" t="e">
        <f>AND(List1!H453,"AAAAAE/1fSE=")</f>
        <v>#VALUE!</v>
      </c>
      <c r="AI17" t="e">
        <f>AND(List1!I453,"AAAAAE/1fSI=")</f>
        <v>#VALUE!</v>
      </c>
      <c r="AJ17">
        <f>IF(List1!452:452,"AAAAAE/1fSM=",0)</f>
        <v>0</v>
      </c>
      <c r="AK17" t="e">
        <f>AND(List1!A454,"AAAAAE/1fSQ=")</f>
        <v>#VALUE!</v>
      </c>
      <c r="AL17" t="e">
        <f>AND(List1!B454,"AAAAAE/1fSU=")</f>
        <v>#VALUE!</v>
      </c>
      <c r="AM17" t="e">
        <f>AND(List1!C454,"AAAAAE/1fSY=")</f>
        <v>#VALUE!</v>
      </c>
      <c r="AN17" t="e">
        <f>AND(List1!E454,"AAAAAE/1fSc=")</f>
        <v>#VALUE!</v>
      </c>
      <c r="AO17" t="e">
        <f>AND(List1!F454,"AAAAAE/1fSg=")</f>
        <v>#VALUE!</v>
      </c>
      <c r="AP17" t="e">
        <f>AND(List1!G454,"AAAAAE/1fSk=")</f>
        <v>#VALUE!</v>
      </c>
      <c r="AQ17" t="e">
        <f>AND(List1!H454,"AAAAAE/1fSo=")</f>
        <v>#VALUE!</v>
      </c>
      <c r="AR17" t="e">
        <f>AND(List1!I454,"AAAAAE/1fSs=")</f>
        <v>#VALUE!</v>
      </c>
      <c r="AS17">
        <f>IF(List1!453:453,"AAAAAE/1fSw=",0)</f>
        <v>0</v>
      </c>
      <c r="AT17" t="e">
        <f>AND(List1!A455,"AAAAAE/1fS0=")</f>
        <v>#VALUE!</v>
      </c>
      <c r="AU17" t="e">
        <f>AND(List1!B455,"AAAAAE/1fS4=")</f>
        <v>#VALUE!</v>
      </c>
      <c r="AV17" t="e">
        <f>AND(List1!C455,"AAAAAE/1fS8=")</f>
        <v>#VALUE!</v>
      </c>
      <c r="AW17" t="e">
        <f>AND(List1!E455,"AAAAAE/1fTA=")</f>
        <v>#VALUE!</v>
      </c>
      <c r="AX17" t="e">
        <f>AND(List1!F455,"AAAAAE/1fTE=")</f>
        <v>#VALUE!</v>
      </c>
      <c r="AY17" t="e">
        <f>AND(List1!G455,"AAAAAE/1fTI=")</f>
        <v>#VALUE!</v>
      </c>
      <c r="AZ17" t="e">
        <f>AND(List1!H455,"AAAAAE/1fTM=")</f>
        <v>#VALUE!</v>
      </c>
      <c r="BA17" t="e">
        <f>AND(List1!I455,"AAAAAE/1fTQ=")</f>
        <v>#VALUE!</v>
      </c>
      <c r="BB17">
        <f>IF(List1!454:454,"AAAAAE/1fTU=",0)</f>
        <v>0</v>
      </c>
      <c r="BC17" t="e">
        <f>AND(List1!A456,"AAAAAE/1fTY=")</f>
        <v>#VALUE!</v>
      </c>
      <c r="BD17" t="e">
        <f>AND(List1!B456,"AAAAAE/1fTc=")</f>
        <v>#VALUE!</v>
      </c>
      <c r="BE17" t="e">
        <f>AND(List1!C456,"AAAAAE/1fTg=")</f>
        <v>#VALUE!</v>
      </c>
      <c r="BF17" t="e">
        <f>AND(List1!E456,"AAAAAE/1fTk=")</f>
        <v>#VALUE!</v>
      </c>
      <c r="BG17" t="e">
        <f>AND(List1!F456,"AAAAAE/1fTo=")</f>
        <v>#VALUE!</v>
      </c>
      <c r="BH17" t="e">
        <f>AND(List1!G456,"AAAAAE/1fTs=")</f>
        <v>#VALUE!</v>
      </c>
      <c r="BI17" t="e">
        <f>AND(List1!H456,"AAAAAE/1fTw=")</f>
        <v>#VALUE!</v>
      </c>
      <c r="BJ17" t="e">
        <f>AND(List1!I456,"AAAAAE/1fT0=")</f>
        <v>#VALUE!</v>
      </c>
      <c r="BK17">
        <f>IF(List1!455:455,"AAAAAE/1fT4=",0)</f>
        <v>0</v>
      </c>
      <c r="BL17" t="e">
        <f>AND(List1!A457,"AAAAAE/1fT8=")</f>
        <v>#VALUE!</v>
      </c>
      <c r="BM17" t="e">
        <f>AND(List1!B457,"AAAAAE/1fUA=")</f>
        <v>#VALUE!</v>
      </c>
      <c r="BN17" t="e">
        <f>AND(List1!C457,"AAAAAE/1fUE=")</f>
        <v>#VALUE!</v>
      </c>
      <c r="BO17" t="e">
        <f>AND(List1!E457,"AAAAAE/1fUI=")</f>
        <v>#VALUE!</v>
      </c>
      <c r="BP17" t="e">
        <f>AND(List1!F457,"AAAAAE/1fUM=")</f>
        <v>#VALUE!</v>
      </c>
      <c r="BQ17" t="e">
        <f>AND(List1!G457,"AAAAAE/1fUQ=")</f>
        <v>#VALUE!</v>
      </c>
      <c r="BR17" t="e">
        <f>AND(List1!H457,"AAAAAE/1fUU=")</f>
        <v>#VALUE!</v>
      </c>
      <c r="BS17" t="e">
        <f>AND(List1!I457,"AAAAAE/1fUY=")</f>
        <v>#VALUE!</v>
      </c>
      <c r="BT17">
        <f>IF(List1!456:456,"AAAAAE/1fUc=",0)</f>
        <v>0</v>
      </c>
      <c r="BU17" t="e">
        <f>AND(List1!A458,"AAAAAE/1fUg=")</f>
        <v>#VALUE!</v>
      </c>
      <c r="BV17" t="e">
        <f>AND(List1!B458,"AAAAAE/1fUk=")</f>
        <v>#VALUE!</v>
      </c>
      <c r="BW17" t="e">
        <f>AND(List1!C458,"AAAAAE/1fUo=")</f>
        <v>#VALUE!</v>
      </c>
      <c r="BX17" t="e">
        <f>AND(List1!E458,"AAAAAE/1fUs=")</f>
        <v>#VALUE!</v>
      </c>
      <c r="BY17" t="e">
        <f>AND(List1!F458,"AAAAAE/1fUw=")</f>
        <v>#VALUE!</v>
      </c>
      <c r="BZ17" t="e">
        <f>AND(List1!G458,"AAAAAE/1fU0=")</f>
        <v>#VALUE!</v>
      </c>
      <c r="CA17" t="e">
        <f>AND(List1!H458,"AAAAAE/1fU4=")</f>
        <v>#VALUE!</v>
      </c>
      <c r="CB17" t="e">
        <f>AND(List1!I458,"AAAAAE/1fU8=")</f>
        <v>#VALUE!</v>
      </c>
      <c r="CC17">
        <f>IF(List1!457:457,"AAAAAE/1fVA=",0)</f>
        <v>0</v>
      </c>
      <c r="CD17" t="e">
        <f>AND(List1!A459,"AAAAAE/1fVE=")</f>
        <v>#VALUE!</v>
      </c>
      <c r="CE17" t="e">
        <f>AND(List1!B459,"AAAAAE/1fVI=")</f>
        <v>#VALUE!</v>
      </c>
      <c r="CF17" t="e">
        <f>AND(List1!C459,"AAAAAE/1fVM=")</f>
        <v>#VALUE!</v>
      </c>
      <c r="CG17" t="e">
        <f>AND(List1!E459,"AAAAAE/1fVQ=")</f>
        <v>#VALUE!</v>
      </c>
      <c r="CH17" t="e">
        <f>AND(List1!F459,"AAAAAE/1fVU=")</f>
        <v>#VALUE!</v>
      </c>
      <c r="CI17" t="e">
        <f>AND(List1!G459,"AAAAAE/1fVY=")</f>
        <v>#VALUE!</v>
      </c>
      <c r="CJ17" t="e">
        <f>AND(List1!H459,"AAAAAE/1fVc=")</f>
        <v>#VALUE!</v>
      </c>
      <c r="CK17" t="e">
        <f>AND(List1!I459,"AAAAAE/1fVg=")</f>
        <v>#VALUE!</v>
      </c>
      <c r="CL17">
        <f>IF(List1!458:458,"AAAAAE/1fVk=",0)</f>
        <v>0</v>
      </c>
      <c r="CM17" t="e">
        <f>AND(List1!A460,"AAAAAE/1fVo=")</f>
        <v>#VALUE!</v>
      </c>
      <c r="CN17" t="e">
        <f>AND(List1!B460,"AAAAAE/1fVs=")</f>
        <v>#VALUE!</v>
      </c>
      <c r="CO17" t="e">
        <f>AND(List1!C460,"AAAAAE/1fVw=")</f>
        <v>#VALUE!</v>
      </c>
      <c r="CP17" t="e">
        <f>AND(List1!E460,"AAAAAE/1fV0=")</f>
        <v>#VALUE!</v>
      </c>
      <c r="CQ17" t="e">
        <f>AND(List1!F460,"AAAAAE/1fV4=")</f>
        <v>#VALUE!</v>
      </c>
      <c r="CR17" t="e">
        <f>AND(List1!G460,"AAAAAE/1fV8=")</f>
        <v>#VALUE!</v>
      </c>
      <c r="CS17" t="e">
        <f>AND(List1!H460,"AAAAAE/1fWA=")</f>
        <v>#VALUE!</v>
      </c>
      <c r="CT17" t="e">
        <f>AND(List1!I460,"AAAAAE/1fWE=")</f>
        <v>#VALUE!</v>
      </c>
      <c r="CU17">
        <f>IF(List1!459:459,"AAAAAE/1fWI=",0)</f>
        <v>0</v>
      </c>
      <c r="CV17" t="e">
        <f>AND(List1!A461,"AAAAAE/1fWM=")</f>
        <v>#VALUE!</v>
      </c>
      <c r="CW17" t="e">
        <f>AND(List1!B461,"AAAAAE/1fWQ=")</f>
        <v>#VALUE!</v>
      </c>
      <c r="CX17" t="e">
        <f>AND(List1!C461,"AAAAAE/1fWU=")</f>
        <v>#VALUE!</v>
      </c>
      <c r="CY17" t="e">
        <f>AND(List1!E461,"AAAAAE/1fWY=")</f>
        <v>#VALUE!</v>
      </c>
      <c r="CZ17" t="e">
        <f>AND(List1!F461,"AAAAAE/1fWc=")</f>
        <v>#VALUE!</v>
      </c>
      <c r="DA17" t="e">
        <f>AND(List1!G461,"AAAAAE/1fWg=")</f>
        <v>#VALUE!</v>
      </c>
      <c r="DB17" t="e">
        <f>AND(List1!H461,"AAAAAE/1fWk=")</f>
        <v>#VALUE!</v>
      </c>
      <c r="DC17" t="e">
        <f>AND(List1!I461,"AAAAAE/1fWo=")</f>
        <v>#VALUE!</v>
      </c>
      <c r="DD17">
        <f>IF(List1!460:460,"AAAAAE/1fWs=",0)</f>
        <v>0</v>
      </c>
      <c r="DE17" t="e">
        <f>AND(List1!A462,"AAAAAE/1fWw=")</f>
        <v>#VALUE!</v>
      </c>
      <c r="DF17" t="e">
        <f>AND(List1!B462,"AAAAAE/1fW0=")</f>
        <v>#VALUE!</v>
      </c>
      <c r="DG17" t="e">
        <f>AND(List1!C462,"AAAAAE/1fW4=")</f>
        <v>#VALUE!</v>
      </c>
      <c r="DH17" t="e">
        <f>AND(List1!E462,"AAAAAE/1fW8=")</f>
        <v>#VALUE!</v>
      </c>
      <c r="DI17" t="e">
        <f>AND(List1!F462,"AAAAAE/1fXA=")</f>
        <v>#VALUE!</v>
      </c>
      <c r="DJ17" t="e">
        <f>AND(List1!G462,"AAAAAE/1fXE=")</f>
        <v>#VALUE!</v>
      </c>
      <c r="DK17" t="e">
        <f>AND(List1!H462,"AAAAAE/1fXI=")</f>
        <v>#VALUE!</v>
      </c>
      <c r="DL17" t="e">
        <f>AND(List1!I462,"AAAAAE/1fXM=")</f>
        <v>#VALUE!</v>
      </c>
      <c r="DM17">
        <f>IF(List1!461:461,"AAAAAE/1fXQ=",0)</f>
        <v>0</v>
      </c>
      <c r="DN17" t="e">
        <f>AND(List1!A463,"AAAAAE/1fXU=")</f>
        <v>#VALUE!</v>
      </c>
      <c r="DO17" t="e">
        <f>AND(List1!B463,"AAAAAE/1fXY=")</f>
        <v>#VALUE!</v>
      </c>
      <c r="DP17" t="e">
        <f>AND(List1!C463,"AAAAAE/1fXc=")</f>
        <v>#VALUE!</v>
      </c>
      <c r="DQ17" t="e">
        <f>AND(List1!E463,"AAAAAE/1fXg=")</f>
        <v>#VALUE!</v>
      </c>
      <c r="DR17" t="e">
        <f>AND(List1!F463,"AAAAAE/1fXk=")</f>
        <v>#VALUE!</v>
      </c>
      <c r="DS17" t="e">
        <f>AND(List1!G463,"AAAAAE/1fXo=")</f>
        <v>#VALUE!</v>
      </c>
      <c r="DT17" t="e">
        <f>AND(List1!H463,"AAAAAE/1fXs=")</f>
        <v>#VALUE!</v>
      </c>
      <c r="DU17" t="e">
        <f>AND(List1!I463,"AAAAAE/1fXw=")</f>
        <v>#VALUE!</v>
      </c>
      <c r="DV17">
        <f>IF(List1!462:462,"AAAAAE/1fX0=",0)</f>
        <v>0</v>
      </c>
      <c r="DW17" t="e">
        <f>AND(List1!A464,"AAAAAE/1fX4=")</f>
        <v>#VALUE!</v>
      </c>
      <c r="DX17" t="e">
        <f>AND(List1!B464,"AAAAAE/1fX8=")</f>
        <v>#VALUE!</v>
      </c>
      <c r="DY17" t="e">
        <f>AND(List1!C464,"AAAAAE/1fYA=")</f>
        <v>#VALUE!</v>
      </c>
      <c r="DZ17" t="e">
        <f>AND(List1!E464,"AAAAAE/1fYE=")</f>
        <v>#VALUE!</v>
      </c>
      <c r="EA17" t="e">
        <f>AND(List1!F464,"AAAAAE/1fYI=")</f>
        <v>#VALUE!</v>
      </c>
      <c r="EB17" t="e">
        <f>AND(List1!G464,"AAAAAE/1fYM=")</f>
        <v>#VALUE!</v>
      </c>
      <c r="EC17" t="e">
        <f>AND(List1!H464,"AAAAAE/1fYQ=")</f>
        <v>#VALUE!</v>
      </c>
      <c r="ED17" t="e">
        <f>AND(List1!I464,"AAAAAE/1fYU=")</f>
        <v>#VALUE!</v>
      </c>
      <c r="EE17">
        <f>IF(List1!463:463,"AAAAAE/1fYY=",0)</f>
        <v>0</v>
      </c>
      <c r="EF17" t="e">
        <f>AND(List1!A465,"AAAAAE/1fYc=")</f>
        <v>#VALUE!</v>
      </c>
      <c r="EG17" t="e">
        <f>AND(List1!B465,"AAAAAE/1fYg=")</f>
        <v>#VALUE!</v>
      </c>
      <c r="EH17" t="e">
        <f>AND(List1!C465,"AAAAAE/1fYk=")</f>
        <v>#VALUE!</v>
      </c>
      <c r="EI17" t="e">
        <f>AND(List1!E465,"AAAAAE/1fYo=")</f>
        <v>#VALUE!</v>
      </c>
      <c r="EJ17" t="e">
        <f>AND(List1!F465,"AAAAAE/1fYs=")</f>
        <v>#VALUE!</v>
      </c>
      <c r="EK17" t="e">
        <f>AND(List1!G465,"AAAAAE/1fYw=")</f>
        <v>#VALUE!</v>
      </c>
      <c r="EL17" t="e">
        <f>AND(List1!H465,"AAAAAE/1fY0=")</f>
        <v>#VALUE!</v>
      </c>
      <c r="EM17" t="e">
        <f>AND(List1!I465,"AAAAAE/1fY4=")</f>
        <v>#VALUE!</v>
      </c>
      <c r="EN17">
        <f>IF(List1!464:464,"AAAAAE/1fY8=",0)</f>
        <v>0</v>
      </c>
      <c r="EO17" t="e">
        <f>AND(List1!A466,"AAAAAE/1fZA=")</f>
        <v>#VALUE!</v>
      </c>
      <c r="EP17" t="e">
        <f>AND(List1!B466,"AAAAAE/1fZE=")</f>
        <v>#VALUE!</v>
      </c>
      <c r="EQ17" t="e">
        <f>AND(List1!C466,"AAAAAE/1fZI=")</f>
        <v>#VALUE!</v>
      </c>
      <c r="ER17" t="e">
        <f>AND(List1!E466,"AAAAAE/1fZM=")</f>
        <v>#VALUE!</v>
      </c>
      <c r="ES17" t="e">
        <f>AND(List1!F466,"AAAAAE/1fZQ=")</f>
        <v>#VALUE!</v>
      </c>
      <c r="ET17" t="e">
        <f>AND(List1!G466,"AAAAAE/1fZU=")</f>
        <v>#VALUE!</v>
      </c>
      <c r="EU17" t="e">
        <f>AND(List1!H466,"AAAAAE/1fZY=")</f>
        <v>#VALUE!</v>
      </c>
      <c r="EV17" t="e">
        <f>AND(List1!I466,"AAAAAE/1fZc=")</f>
        <v>#VALUE!</v>
      </c>
      <c r="EW17">
        <f>IF(List1!466:466,"AAAAAE/1fZg=",0)</f>
        <v>0</v>
      </c>
      <c r="EX17" t="e">
        <f>AND(List1!A468,"AAAAAE/1fZk=")</f>
        <v>#VALUE!</v>
      </c>
      <c r="EY17" t="e">
        <f>AND(List1!B468,"AAAAAE/1fZo=")</f>
        <v>#VALUE!</v>
      </c>
      <c r="EZ17" t="e">
        <f>AND(List1!C468,"AAAAAE/1fZs=")</f>
        <v>#VALUE!</v>
      </c>
      <c r="FA17" t="e">
        <f>AND(List1!E468,"AAAAAE/1fZw=")</f>
        <v>#VALUE!</v>
      </c>
      <c r="FB17" t="e">
        <f>AND(List1!F468,"AAAAAE/1fZ0=")</f>
        <v>#VALUE!</v>
      </c>
      <c r="FC17" t="e">
        <f>AND(List1!G468,"AAAAAE/1fZ4=")</f>
        <v>#VALUE!</v>
      </c>
      <c r="FD17" t="e">
        <f>AND(List1!H468,"AAAAAE/1fZ8=")</f>
        <v>#VALUE!</v>
      </c>
      <c r="FE17" t="e">
        <f>AND(List1!I468,"AAAAAE/1faA=")</f>
        <v>#VALUE!</v>
      </c>
      <c r="FF17">
        <f>IF(List1!467:467,"AAAAAE/1faE=",0)</f>
        <v>0</v>
      </c>
      <c r="FG17" t="e">
        <f>AND(List1!A469,"AAAAAE/1faI=")</f>
        <v>#VALUE!</v>
      </c>
      <c r="FH17" t="e">
        <f>AND(List1!B469,"AAAAAE/1faM=")</f>
        <v>#VALUE!</v>
      </c>
      <c r="FI17" t="e">
        <f>AND(List1!C469,"AAAAAE/1faQ=")</f>
        <v>#VALUE!</v>
      </c>
      <c r="FJ17" t="e">
        <f>AND(List1!E469,"AAAAAE/1faU=")</f>
        <v>#VALUE!</v>
      </c>
      <c r="FK17" t="e">
        <f>AND(List1!F469,"AAAAAE/1faY=")</f>
        <v>#VALUE!</v>
      </c>
      <c r="FL17" t="e">
        <f>AND(List1!G469,"AAAAAE/1fac=")</f>
        <v>#VALUE!</v>
      </c>
      <c r="FM17" t="e">
        <f>AND(List1!H469,"AAAAAE/1fag=")</f>
        <v>#VALUE!</v>
      </c>
      <c r="FN17" t="e">
        <f>AND(List1!I469,"AAAAAE/1fak=")</f>
        <v>#VALUE!</v>
      </c>
      <c r="FO17">
        <f>IF(List1!468:468,"AAAAAE/1fao=",0)</f>
        <v>0</v>
      </c>
      <c r="FP17" t="e">
        <f>AND(List1!A470,"AAAAAE/1fas=")</f>
        <v>#VALUE!</v>
      </c>
      <c r="FQ17" t="e">
        <f>AND(List1!B470,"AAAAAE/1faw=")</f>
        <v>#VALUE!</v>
      </c>
      <c r="FR17" t="e">
        <f>AND(List1!C470,"AAAAAE/1fa0=")</f>
        <v>#VALUE!</v>
      </c>
      <c r="FS17" t="e">
        <f>AND(List1!E470,"AAAAAE/1fa4=")</f>
        <v>#VALUE!</v>
      </c>
      <c r="FT17" t="e">
        <f>AND(List1!F470,"AAAAAE/1fa8=")</f>
        <v>#VALUE!</v>
      </c>
      <c r="FU17" t="e">
        <f>AND(List1!G470,"AAAAAE/1fbA=")</f>
        <v>#VALUE!</v>
      </c>
      <c r="FV17" t="e">
        <f>AND(List1!H470,"AAAAAE/1fbE=")</f>
        <v>#VALUE!</v>
      </c>
      <c r="FW17" t="e">
        <f>AND(List1!I470,"AAAAAE/1fbI=")</f>
        <v>#VALUE!</v>
      </c>
      <c r="FX17">
        <f>IF(List1!469:469,"AAAAAE/1fbM=",0)</f>
        <v>0</v>
      </c>
      <c r="FY17" t="e">
        <f>AND(List1!A471,"AAAAAE/1fbQ=")</f>
        <v>#VALUE!</v>
      </c>
      <c r="FZ17" t="e">
        <f>AND(List1!B471,"AAAAAE/1fbU=")</f>
        <v>#VALUE!</v>
      </c>
      <c r="GA17" t="e">
        <f>AND(List1!C471,"AAAAAE/1fbY=")</f>
        <v>#VALUE!</v>
      </c>
      <c r="GB17" t="e">
        <f>AND(List1!E471,"AAAAAE/1fbc=")</f>
        <v>#VALUE!</v>
      </c>
      <c r="GC17" t="e">
        <f>AND(List1!F471,"AAAAAE/1fbg=")</f>
        <v>#VALUE!</v>
      </c>
      <c r="GD17" t="e">
        <f>AND(List1!G471,"AAAAAE/1fbk=")</f>
        <v>#VALUE!</v>
      </c>
      <c r="GE17" t="e">
        <f>AND(List1!H471,"AAAAAE/1fbo=")</f>
        <v>#VALUE!</v>
      </c>
      <c r="GF17" t="e">
        <f>AND(List1!I471,"AAAAAE/1fbs=")</f>
        <v>#VALUE!</v>
      </c>
      <c r="GG17">
        <f>IF(List1!470:470,"AAAAAE/1fbw=",0)</f>
        <v>0</v>
      </c>
      <c r="GH17" t="e">
        <f>AND(List1!A472,"AAAAAE/1fb0=")</f>
        <v>#VALUE!</v>
      </c>
      <c r="GI17" t="e">
        <f>AND(List1!B472,"AAAAAE/1fb4=")</f>
        <v>#VALUE!</v>
      </c>
      <c r="GJ17" t="e">
        <f>AND(List1!C472,"AAAAAE/1fb8=")</f>
        <v>#VALUE!</v>
      </c>
      <c r="GK17" t="e">
        <f>AND(List1!E472,"AAAAAE/1fcA=")</f>
        <v>#VALUE!</v>
      </c>
      <c r="GL17" t="e">
        <f>AND(List1!F472,"AAAAAE/1fcE=")</f>
        <v>#VALUE!</v>
      </c>
      <c r="GM17" t="e">
        <f>AND(List1!G472,"AAAAAE/1fcI=")</f>
        <v>#VALUE!</v>
      </c>
      <c r="GN17" t="e">
        <f>AND(List1!H472,"AAAAAE/1fcM=")</f>
        <v>#VALUE!</v>
      </c>
      <c r="GO17" t="e">
        <f>AND(List1!I472,"AAAAAE/1fcQ=")</f>
        <v>#VALUE!</v>
      </c>
      <c r="GP17">
        <f>IF(List1!471:471,"AAAAAE/1fcU=",0)</f>
        <v>0</v>
      </c>
      <c r="GQ17" t="e">
        <f>AND(List1!A473,"AAAAAE/1fcY=")</f>
        <v>#VALUE!</v>
      </c>
      <c r="GR17" t="e">
        <f>AND(List1!B473,"AAAAAE/1fcc=")</f>
        <v>#VALUE!</v>
      </c>
      <c r="GS17" t="e">
        <f>AND(List1!C473,"AAAAAE/1fcg=")</f>
        <v>#VALUE!</v>
      </c>
      <c r="GT17" t="e">
        <f>AND(List1!E473,"AAAAAE/1fck=")</f>
        <v>#VALUE!</v>
      </c>
      <c r="GU17" t="e">
        <f>AND(List1!F473,"AAAAAE/1fco=")</f>
        <v>#VALUE!</v>
      </c>
      <c r="GV17" t="e">
        <f>AND(List1!G473,"AAAAAE/1fcs=")</f>
        <v>#VALUE!</v>
      </c>
      <c r="GW17" t="e">
        <f>AND(List1!H473,"AAAAAE/1fcw=")</f>
        <v>#VALUE!</v>
      </c>
      <c r="GX17" t="e">
        <f>AND(List1!I473,"AAAAAE/1fc0=")</f>
        <v>#VALUE!</v>
      </c>
      <c r="GY17">
        <f>IF(List1!472:472,"AAAAAE/1fc4=",0)</f>
        <v>0</v>
      </c>
      <c r="GZ17" t="e">
        <f>AND(List1!A474,"AAAAAE/1fc8=")</f>
        <v>#VALUE!</v>
      </c>
      <c r="HA17" t="e">
        <f>AND(List1!B474,"AAAAAE/1fdA=")</f>
        <v>#VALUE!</v>
      </c>
      <c r="HB17" t="e">
        <f>AND(List1!C474,"AAAAAE/1fdE=")</f>
        <v>#VALUE!</v>
      </c>
      <c r="HC17" t="e">
        <f>AND(List1!E474,"AAAAAE/1fdI=")</f>
        <v>#VALUE!</v>
      </c>
      <c r="HD17" t="e">
        <f>AND(List1!F474,"AAAAAE/1fdM=")</f>
        <v>#VALUE!</v>
      </c>
      <c r="HE17" t="e">
        <f>AND(List1!G474,"AAAAAE/1fdQ=")</f>
        <v>#VALUE!</v>
      </c>
      <c r="HF17" t="e">
        <f>AND(List1!H474,"AAAAAE/1fdU=")</f>
        <v>#VALUE!</v>
      </c>
      <c r="HG17" t="e">
        <f>AND(List1!I474,"AAAAAE/1fdY=")</f>
        <v>#VALUE!</v>
      </c>
      <c r="HH17">
        <f>IF(List1!473:473,"AAAAAE/1fdc=",0)</f>
        <v>0</v>
      </c>
      <c r="HI17" t="e">
        <f>AND(List1!A475,"AAAAAE/1fdg=")</f>
        <v>#VALUE!</v>
      </c>
      <c r="HJ17" t="e">
        <f>AND(List1!B475,"AAAAAE/1fdk=")</f>
        <v>#VALUE!</v>
      </c>
      <c r="HK17" t="e">
        <f>AND(List1!C475,"AAAAAE/1fdo=")</f>
        <v>#VALUE!</v>
      </c>
      <c r="HL17" t="e">
        <f>AND(List1!E475,"AAAAAE/1fds=")</f>
        <v>#VALUE!</v>
      </c>
      <c r="HM17" t="e">
        <f>AND(List1!F475,"AAAAAE/1fdw=")</f>
        <v>#VALUE!</v>
      </c>
      <c r="HN17" t="e">
        <f>AND(List1!G475,"AAAAAE/1fd0=")</f>
        <v>#VALUE!</v>
      </c>
      <c r="HO17" t="e">
        <f>AND(List1!H475,"AAAAAE/1fd4=")</f>
        <v>#VALUE!</v>
      </c>
      <c r="HP17" t="e">
        <f>AND(List1!I475,"AAAAAE/1fd8=")</f>
        <v>#VALUE!</v>
      </c>
      <c r="HQ17">
        <f>IF(List1!474:474,"AAAAAE/1feA=",0)</f>
        <v>0</v>
      </c>
      <c r="HR17" t="e">
        <f>AND(List1!A476,"AAAAAE/1feE=")</f>
        <v>#VALUE!</v>
      </c>
      <c r="HS17" t="e">
        <f>AND(List1!B476,"AAAAAE/1feI=")</f>
        <v>#VALUE!</v>
      </c>
      <c r="HT17" t="e">
        <f>AND(List1!C476,"AAAAAE/1feM=")</f>
        <v>#VALUE!</v>
      </c>
      <c r="HU17" t="e">
        <f>AND(List1!E476,"AAAAAE/1feQ=")</f>
        <v>#VALUE!</v>
      </c>
      <c r="HV17" t="e">
        <f>AND(List1!F476,"AAAAAE/1feU=")</f>
        <v>#VALUE!</v>
      </c>
      <c r="HW17" t="e">
        <f>AND(List1!G476,"AAAAAE/1feY=")</f>
        <v>#VALUE!</v>
      </c>
      <c r="HX17" t="e">
        <f>AND(List1!H476,"AAAAAE/1fec=")</f>
        <v>#VALUE!</v>
      </c>
      <c r="HY17" t="e">
        <f>AND(List1!I476,"AAAAAE/1feg=")</f>
        <v>#VALUE!</v>
      </c>
      <c r="HZ17">
        <f>IF(List1!475:475,"AAAAAE/1fek=",0)</f>
        <v>0</v>
      </c>
      <c r="IA17" t="e">
        <f>AND(List1!A477,"AAAAAE/1feo=")</f>
        <v>#VALUE!</v>
      </c>
      <c r="IB17" t="e">
        <f>AND(List1!B477,"AAAAAE/1fes=")</f>
        <v>#VALUE!</v>
      </c>
      <c r="IC17" t="e">
        <f>AND(List1!C477,"AAAAAE/1few=")</f>
        <v>#VALUE!</v>
      </c>
      <c r="ID17" t="e">
        <f>AND(List1!E477,"AAAAAE/1fe0=")</f>
        <v>#VALUE!</v>
      </c>
      <c r="IE17" t="e">
        <f>AND(List1!F477,"AAAAAE/1fe4=")</f>
        <v>#VALUE!</v>
      </c>
      <c r="IF17" t="e">
        <f>AND(List1!G477,"AAAAAE/1fe8=")</f>
        <v>#VALUE!</v>
      </c>
      <c r="IG17" t="e">
        <f>AND(List1!H477,"AAAAAE/1ffA=")</f>
        <v>#VALUE!</v>
      </c>
      <c r="IH17" t="e">
        <f>AND(List1!I477,"AAAAAE/1ffE=")</f>
        <v>#VALUE!</v>
      </c>
      <c r="II17">
        <f>IF(List1!476:476,"AAAAAE/1ffI=",0)</f>
        <v>0</v>
      </c>
      <c r="IJ17" t="e">
        <f>AND(List1!A478,"AAAAAE/1ffM=")</f>
        <v>#VALUE!</v>
      </c>
      <c r="IK17" t="e">
        <f>AND(List1!B478,"AAAAAE/1ffQ=")</f>
        <v>#VALUE!</v>
      </c>
      <c r="IL17" t="e">
        <f>AND(List1!C478,"AAAAAE/1ffU=")</f>
        <v>#VALUE!</v>
      </c>
      <c r="IM17" t="e">
        <f>AND(List1!E478,"AAAAAE/1ffY=")</f>
        <v>#VALUE!</v>
      </c>
      <c r="IN17" t="e">
        <f>AND(List1!F478,"AAAAAE/1ffc=")</f>
        <v>#VALUE!</v>
      </c>
      <c r="IO17" t="e">
        <f>AND(List1!G478,"AAAAAE/1ffg=")</f>
        <v>#VALUE!</v>
      </c>
      <c r="IP17" t="e">
        <f>AND(List1!H478,"AAAAAE/1ffk=")</f>
        <v>#VALUE!</v>
      </c>
      <c r="IQ17" t="e">
        <f>AND(List1!I478,"AAAAAE/1ffo=")</f>
        <v>#VALUE!</v>
      </c>
      <c r="IR17">
        <f>IF(List1!477:477,"AAAAAE/1ffs=",0)</f>
        <v>0</v>
      </c>
      <c r="IS17" t="e">
        <f>AND(List1!A479,"AAAAAE/1ffw=")</f>
        <v>#VALUE!</v>
      </c>
      <c r="IT17" t="e">
        <f>AND(List1!B479,"AAAAAE/1ff0=")</f>
        <v>#VALUE!</v>
      </c>
      <c r="IU17" t="e">
        <f>AND(List1!C479,"AAAAAE/1ff4=")</f>
        <v>#VALUE!</v>
      </c>
      <c r="IV17" t="e">
        <f>AND(List1!E479,"AAAAAE/1ff8=")</f>
        <v>#VALUE!</v>
      </c>
    </row>
    <row r="18" spans="1:256" ht="12.75">
      <c r="A18" t="e">
        <f>AND(List1!F479,"AAAAAH77/gA=")</f>
        <v>#VALUE!</v>
      </c>
      <c r="B18" t="e">
        <f>AND(List1!G479,"AAAAAH77/gE=")</f>
        <v>#VALUE!</v>
      </c>
      <c r="C18" t="e">
        <f>AND(List1!H479,"AAAAAH77/gI=")</f>
        <v>#VALUE!</v>
      </c>
      <c r="D18" t="e">
        <f>AND(List1!I479,"AAAAAH77/gM=")</f>
        <v>#VALUE!</v>
      </c>
      <c r="E18" t="str">
        <f>IF(List1!478:478,"AAAAAH77/gQ=",0)</f>
        <v>AAAAAH77/gQ=</v>
      </c>
      <c r="F18" t="e">
        <f>AND(List1!A480,"AAAAAH77/gU=")</f>
        <v>#VALUE!</v>
      </c>
      <c r="G18" t="e">
        <f>AND(List1!B480,"AAAAAH77/gY=")</f>
        <v>#VALUE!</v>
      </c>
      <c r="H18" t="e">
        <f>AND(List1!C480,"AAAAAH77/gc=")</f>
        <v>#VALUE!</v>
      </c>
      <c r="I18" t="e">
        <f>AND(List1!E480,"AAAAAH77/gg=")</f>
        <v>#VALUE!</v>
      </c>
      <c r="J18" t="e">
        <f>AND(List1!F480,"AAAAAH77/gk=")</f>
        <v>#VALUE!</v>
      </c>
      <c r="K18" t="e">
        <f>AND(List1!G480,"AAAAAH77/go=")</f>
        <v>#VALUE!</v>
      </c>
      <c r="L18" t="e">
        <f>AND(List1!H480,"AAAAAH77/gs=")</f>
        <v>#VALUE!</v>
      </c>
      <c r="M18" t="e">
        <f>AND(List1!I480,"AAAAAH77/gw=")</f>
        <v>#VALUE!</v>
      </c>
      <c r="N18" t="e">
        <f>IF(List1!#REF!,"AAAAAH77/g0=",0)</f>
        <v>#REF!</v>
      </c>
      <c r="O18" t="e">
        <f>AND(List1!#REF!,"AAAAAH77/g4=")</f>
        <v>#REF!</v>
      </c>
      <c r="P18" t="e">
        <f>AND(List1!#REF!,"AAAAAH77/g8=")</f>
        <v>#REF!</v>
      </c>
      <c r="Q18" t="e">
        <f>AND(List1!#REF!,"AAAAAH77/hA=")</f>
        <v>#REF!</v>
      </c>
      <c r="R18" t="e">
        <f>AND(List1!#REF!,"AAAAAH77/hE=")</f>
        <v>#REF!</v>
      </c>
      <c r="S18" t="e">
        <f>AND(List1!#REF!,"AAAAAH77/hI=")</f>
        <v>#REF!</v>
      </c>
      <c r="T18" t="e">
        <f>AND(List1!#REF!,"AAAAAH77/hM=")</f>
        <v>#REF!</v>
      </c>
      <c r="U18" t="e">
        <f>AND(List1!#REF!,"AAAAAH77/hQ=")</f>
        <v>#REF!</v>
      </c>
      <c r="V18" t="e">
        <f>AND(List1!#REF!,"AAAAAH77/hU=")</f>
        <v>#REF!</v>
      </c>
      <c r="W18" t="e">
        <f>IF(List1!#REF!,"AAAAAH77/hY=",0)</f>
        <v>#REF!</v>
      </c>
      <c r="X18" t="e">
        <f>AND(List1!#REF!,"AAAAAH77/hc=")</f>
        <v>#REF!</v>
      </c>
      <c r="Y18" t="e">
        <f>AND(List1!#REF!,"AAAAAH77/hg=")</f>
        <v>#REF!</v>
      </c>
      <c r="Z18" t="e">
        <f>AND(List1!#REF!,"AAAAAH77/hk=")</f>
        <v>#REF!</v>
      </c>
      <c r="AA18" t="e">
        <f>AND(List1!#REF!,"AAAAAH77/ho=")</f>
        <v>#REF!</v>
      </c>
      <c r="AB18" t="e">
        <f>AND(List1!#REF!,"AAAAAH77/hs=")</f>
        <v>#REF!</v>
      </c>
      <c r="AC18" t="e">
        <f>AND(List1!#REF!,"AAAAAH77/hw=")</f>
        <v>#REF!</v>
      </c>
      <c r="AD18" t="e">
        <f>AND(List1!#REF!,"AAAAAH77/h0=")</f>
        <v>#REF!</v>
      </c>
      <c r="AE18" t="e">
        <f>AND(List1!#REF!,"AAAAAH77/h4=")</f>
        <v>#REF!</v>
      </c>
      <c r="AF18">
        <f>IF(List1!479:479,"AAAAAH77/h8=",0)</f>
        <v>0</v>
      </c>
      <c r="AG18" t="e">
        <f>AND(List1!A481,"AAAAAH77/iA=")</f>
        <v>#VALUE!</v>
      </c>
      <c r="AH18" t="e">
        <f>AND(List1!B481,"AAAAAH77/iE=")</f>
        <v>#VALUE!</v>
      </c>
      <c r="AI18" t="e">
        <f>AND(List1!C481,"AAAAAH77/iI=")</f>
        <v>#VALUE!</v>
      </c>
      <c r="AJ18" t="e">
        <f>AND(List1!E481,"AAAAAH77/iM=")</f>
        <v>#VALUE!</v>
      </c>
      <c r="AK18" t="e">
        <f>AND(List1!F481,"AAAAAH77/iQ=")</f>
        <v>#VALUE!</v>
      </c>
      <c r="AL18" t="e">
        <f>AND(List1!G481,"AAAAAH77/iU=")</f>
        <v>#VALUE!</v>
      </c>
      <c r="AM18" t="e">
        <f>AND(List1!H481,"AAAAAH77/iY=")</f>
        <v>#VALUE!</v>
      </c>
      <c r="AN18" t="e">
        <f>AND(List1!I481,"AAAAAH77/ic=")</f>
        <v>#VALUE!</v>
      </c>
      <c r="AO18">
        <f>IF(List1!480:480,"AAAAAH77/ig=",0)</f>
        <v>0</v>
      </c>
      <c r="AP18" t="e">
        <f>AND(List1!A482,"AAAAAH77/ik=")</f>
        <v>#VALUE!</v>
      </c>
      <c r="AQ18" t="e">
        <f>AND(List1!B482,"AAAAAH77/io=")</f>
        <v>#VALUE!</v>
      </c>
      <c r="AR18" t="e">
        <f>AND(List1!C482,"AAAAAH77/is=")</f>
        <v>#VALUE!</v>
      </c>
      <c r="AS18" t="e">
        <f>AND(List1!E482,"AAAAAH77/iw=")</f>
        <v>#VALUE!</v>
      </c>
      <c r="AT18" t="e">
        <f>AND(List1!F482,"AAAAAH77/i0=")</f>
        <v>#VALUE!</v>
      </c>
      <c r="AU18" t="e">
        <f>AND(List1!G482,"AAAAAH77/i4=")</f>
        <v>#VALUE!</v>
      </c>
      <c r="AV18" t="e">
        <f>AND(List1!H482,"AAAAAH77/i8=")</f>
        <v>#VALUE!</v>
      </c>
      <c r="AW18" t="e">
        <f>AND(List1!I482,"AAAAAH77/jA=")</f>
        <v>#VALUE!</v>
      </c>
      <c r="AX18">
        <f>IF(List1!481:481,"AAAAAH77/jE=",0)</f>
        <v>0</v>
      </c>
      <c r="AY18" t="e">
        <f>AND(List1!A483,"AAAAAH77/jI=")</f>
        <v>#VALUE!</v>
      </c>
      <c r="AZ18" t="e">
        <f>AND(List1!B483,"AAAAAH77/jM=")</f>
        <v>#VALUE!</v>
      </c>
      <c r="BA18" t="e">
        <f>AND(List1!C483,"AAAAAH77/jQ=")</f>
        <v>#VALUE!</v>
      </c>
      <c r="BB18" t="e">
        <f>AND(List1!E483,"AAAAAH77/jU=")</f>
        <v>#VALUE!</v>
      </c>
      <c r="BC18" t="e">
        <f>AND(List1!F483,"AAAAAH77/jY=")</f>
        <v>#VALUE!</v>
      </c>
      <c r="BD18" t="e">
        <f>AND(List1!G483,"AAAAAH77/jc=")</f>
        <v>#VALUE!</v>
      </c>
      <c r="BE18" t="e">
        <f>AND(List1!H483,"AAAAAH77/jg=")</f>
        <v>#VALUE!</v>
      </c>
      <c r="BF18" t="e">
        <f>AND(List1!I483,"AAAAAH77/jk=")</f>
        <v>#VALUE!</v>
      </c>
      <c r="BG18">
        <f>IF(List1!482:482,"AAAAAH77/jo=",0)</f>
        <v>0</v>
      </c>
      <c r="BH18" t="e">
        <f>AND(List1!A484,"AAAAAH77/js=")</f>
        <v>#VALUE!</v>
      </c>
      <c r="BI18" t="e">
        <f>AND(List1!B484,"AAAAAH77/jw=")</f>
        <v>#VALUE!</v>
      </c>
      <c r="BJ18" t="e">
        <f>AND(List1!C484,"AAAAAH77/j0=")</f>
        <v>#VALUE!</v>
      </c>
      <c r="BK18" t="e">
        <f>AND(List1!E484,"AAAAAH77/j4=")</f>
        <v>#VALUE!</v>
      </c>
      <c r="BL18" t="e">
        <f>AND(List1!F484,"AAAAAH77/j8=")</f>
        <v>#VALUE!</v>
      </c>
      <c r="BM18" t="e">
        <f>AND(List1!G484,"AAAAAH77/kA=")</f>
        <v>#VALUE!</v>
      </c>
      <c r="BN18" t="e">
        <f>AND(List1!H484,"AAAAAH77/kE=")</f>
        <v>#VALUE!</v>
      </c>
      <c r="BO18" t="e">
        <f>AND(List1!I484,"AAAAAH77/kI=")</f>
        <v>#VALUE!</v>
      </c>
      <c r="BP18">
        <f>IF(List1!484:484,"AAAAAH77/kM=",0)</f>
        <v>0</v>
      </c>
      <c r="BQ18" t="e">
        <f>AND(List1!A486,"AAAAAH77/kQ=")</f>
        <v>#VALUE!</v>
      </c>
      <c r="BR18" t="e">
        <f>AND(List1!B486,"AAAAAH77/kU=")</f>
        <v>#VALUE!</v>
      </c>
      <c r="BS18" t="e">
        <f>AND(List1!C486,"AAAAAH77/kY=")</f>
        <v>#VALUE!</v>
      </c>
      <c r="BT18" t="e">
        <f>AND(List1!E486,"AAAAAH77/kc=")</f>
        <v>#VALUE!</v>
      </c>
      <c r="BU18" t="e">
        <f>AND(List1!F486,"AAAAAH77/kg=")</f>
        <v>#VALUE!</v>
      </c>
      <c r="BV18" t="e">
        <f>AND(List1!G486,"AAAAAH77/kk=")</f>
        <v>#VALUE!</v>
      </c>
      <c r="BW18" t="e">
        <f>AND(List1!H486,"AAAAAH77/ko=")</f>
        <v>#VALUE!</v>
      </c>
      <c r="BX18" t="e">
        <f>AND(List1!I486,"AAAAAH77/ks=")</f>
        <v>#VALUE!</v>
      </c>
      <c r="BY18">
        <f>IF(List1!485:485,"AAAAAH77/kw=",0)</f>
        <v>0</v>
      </c>
      <c r="BZ18" t="e">
        <f>AND(List1!A487,"AAAAAH77/k0=")</f>
        <v>#VALUE!</v>
      </c>
      <c r="CA18" t="e">
        <f>AND(List1!B487,"AAAAAH77/k4=")</f>
        <v>#VALUE!</v>
      </c>
      <c r="CB18" t="e">
        <f>AND(List1!C487,"AAAAAH77/k8=")</f>
        <v>#VALUE!</v>
      </c>
      <c r="CC18" t="e">
        <f>AND(List1!E487,"AAAAAH77/lA=")</f>
        <v>#VALUE!</v>
      </c>
      <c r="CD18" t="e">
        <f>AND(List1!F487,"AAAAAH77/lE=")</f>
        <v>#VALUE!</v>
      </c>
      <c r="CE18" t="e">
        <f>AND(List1!G487,"AAAAAH77/lI=")</f>
        <v>#VALUE!</v>
      </c>
      <c r="CF18" t="e">
        <f>AND(List1!H487,"AAAAAH77/lM=")</f>
        <v>#VALUE!</v>
      </c>
      <c r="CG18" t="e">
        <f>AND(List1!I487,"AAAAAH77/lQ=")</f>
        <v>#VALUE!</v>
      </c>
      <c r="CH18">
        <f>IF(List1!486:486,"AAAAAH77/lU=",0)</f>
        <v>0</v>
      </c>
      <c r="CI18" t="e">
        <f>AND(List1!A488,"AAAAAH77/lY=")</f>
        <v>#VALUE!</v>
      </c>
      <c r="CJ18" t="e">
        <f>AND(List1!B488,"AAAAAH77/lc=")</f>
        <v>#VALUE!</v>
      </c>
      <c r="CK18" t="e">
        <f>AND(List1!C488,"AAAAAH77/lg=")</f>
        <v>#VALUE!</v>
      </c>
      <c r="CL18" t="e">
        <f>AND(List1!E488,"AAAAAH77/lk=")</f>
        <v>#VALUE!</v>
      </c>
      <c r="CM18" t="e">
        <f>AND(List1!F488,"AAAAAH77/lo=")</f>
        <v>#VALUE!</v>
      </c>
      <c r="CN18" t="e">
        <f>AND(List1!G488,"AAAAAH77/ls=")</f>
        <v>#VALUE!</v>
      </c>
      <c r="CO18" t="e">
        <f>AND(List1!H488,"AAAAAH77/lw=")</f>
        <v>#VALUE!</v>
      </c>
      <c r="CP18" t="e">
        <f>AND(List1!I488,"AAAAAH77/l0=")</f>
        <v>#VALUE!</v>
      </c>
      <c r="CQ18">
        <f>IF(List1!487:487,"AAAAAH77/l4=",0)</f>
        <v>0</v>
      </c>
      <c r="CR18" t="e">
        <f>AND(List1!A489,"AAAAAH77/l8=")</f>
        <v>#VALUE!</v>
      </c>
      <c r="CS18" t="e">
        <f>AND(List1!B489,"AAAAAH77/mA=")</f>
        <v>#VALUE!</v>
      </c>
      <c r="CT18" t="e">
        <f>AND(List1!C489,"AAAAAH77/mE=")</f>
        <v>#VALUE!</v>
      </c>
      <c r="CU18" t="e">
        <f>AND(List1!E489,"AAAAAH77/mI=")</f>
        <v>#VALUE!</v>
      </c>
      <c r="CV18" t="e">
        <f>AND(List1!F489,"AAAAAH77/mM=")</f>
        <v>#VALUE!</v>
      </c>
      <c r="CW18" t="e">
        <f>AND(List1!G489,"AAAAAH77/mQ=")</f>
        <v>#VALUE!</v>
      </c>
      <c r="CX18" t="e">
        <f>AND(List1!H489,"AAAAAH77/mU=")</f>
        <v>#VALUE!</v>
      </c>
      <c r="CY18" t="e">
        <f>AND(List1!I489,"AAAAAH77/mY=")</f>
        <v>#VALUE!</v>
      </c>
      <c r="CZ18">
        <f>IF(List1!488:488,"AAAAAH77/mc=",0)</f>
        <v>0</v>
      </c>
      <c r="DA18" t="e">
        <f>AND(List1!A490,"AAAAAH77/mg=")</f>
        <v>#VALUE!</v>
      </c>
      <c r="DB18" t="e">
        <f>AND(List1!B490,"AAAAAH77/mk=")</f>
        <v>#VALUE!</v>
      </c>
      <c r="DC18" t="e">
        <f>AND(List1!C490,"AAAAAH77/mo=")</f>
        <v>#VALUE!</v>
      </c>
      <c r="DD18" t="e">
        <f>AND(List1!E490,"AAAAAH77/ms=")</f>
        <v>#VALUE!</v>
      </c>
      <c r="DE18" t="e">
        <f>AND(List1!F490,"AAAAAH77/mw=")</f>
        <v>#VALUE!</v>
      </c>
      <c r="DF18" t="e">
        <f>AND(List1!G490,"AAAAAH77/m0=")</f>
        <v>#VALUE!</v>
      </c>
      <c r="DG18" t="e">
        <f>AND(List1!H490,"AAAAAH77/m4=")</f>
        <v>#VALUE!</v>
      </c>
      <c r="DH18" t="e">
        <f>AND(List1!I490,"AAAAAH77/m8=")</f>
        <v>#VALUE!</v>
      </c>
      <c r="DI18">
        <f>IF(List1!489:489,"AAAAAH77/nA=",0)</f>
        <v>0</v>
      </c>
      <c r="DJ18" t="e">
        <f>AND(List1!A491,"AAAAAH77/nE=")</f>
        <v>#VALUE!</v>
      </c>
      <c r="DK18" t="e">
        <f>AND(List1!B491,"AAAAAH77/nI=")</f>
        <v>#VALUE!</v>
      </c>
      <c r="DL18" t="e">
        <f>AND(List1!C491,"AAAAAH77/nM=")</f>
        <v>#VALUE!</v>
      </c>
      <c r="DM18" t="e">
        <f>AND(List1!E491,"AAAAAH77/nQ=")</f>
        <v>#VALUE!</v>
      </c>
      <c r="DN18" t="e">
        <f>AND(List1!F491,"AAAAAH77/nU=")</f>
        <v>#VALUE!</v>
      </c>
      <c r="DO18" t="e">
        <f>AND(List1!G491,"AAAAAH77/nY=")</f>
        <v>#VALUE!</v>
      </c>
      <c r="DP18" t="e">
        <f>AND(List1!H491,"AAAAAH77/nc=")</f>
        <v>#VALUE!</v>
      </c>
      <c r="DQ18" t="e">
        <f>AND(List1!I491,"AAAAAH77/ng=")</f>
        <v>#VALUE!</v>
      </c>
      <c r="DR18">
        <f>IF(List1!490:490,"AAAAAH77/nk=",0)</f>
        <v>0</v>
      </c>
      <c r="DS18" t="e">
        <f>AND(List1!A492,"AAAAAH77/no=")</f>
        <v>#VALUE!</v>
      </c>
      <c r="DT18" t="e">
        <f>AND(List1!B492,"AAAAAH77/ns=")</f>
        <v>#VALUE!</v>
      </c>
      <c r="DU18" t="e">
        <f>AND(List1!C492,"AAAAAH77/nw=")</f>
        <v>#VALUE!</v>
      </c>
      <c r="DV18" t="e">
        <f>AND(List1!E492,"AAAAAH77/n0=")</f>
        <v>#VALUE!</v>
      </c>
      <c r="DW18" t="e">
        <f>AND(List1!F492,"AAAAAH77/n4=")</f>
        <v>#VALUE!</v>
      </c>
      <c r="DX18" t="e">
        <f>AND(List1!G492,"AAAAAH77/n8=")</f>
        <v>#VALUE!</v>
      </c>
      <c r="DY18" t="e">
        <f>AND(List1!H492,"AAAAAH77/oA=")</f>
        <v>#VALUE!</v>
      </c>
      <c r="DZ18" t="e">
        <f>AND(List1!I492,"AAAAAH77/oE=")</f>
        <v>#VALUE!</v>
      </c>
      <c r="EA18">
        <f>IF(List1!491:491,"AAAAAH77/oI=",0)</f>
        <v>0</v>
      </c>
      <c r="EB18" t="e">
        <f>AND(List1!A493,"AAAAAH77/oM=")</f>
        <v>#VALUE!</v>
      </c>
      <c r="EC18" t="e">
        <f>AND(List1!B493,"AAAAAH77/oQ=")</f>
        <v>#VALUE!</v>
      </c>
      <c r="ED18" t="e">
        <f>AND(List1!C493,"AAAAAH77/oU=")</f>
        <v>#VALUE!</v>
      </c>
      <c r="EE18" t="e">
        <f>AND(List1!E493,"AAAAAH77/oY=")</f>
        <v>#VALUE!</v>
      </c>
      <c r="EF18" t="e">
        <f>AND(List1!F493,"AAAAAH77/oc=")</f>
        <v>#VALUE!</v>
      </c>
      <c r="EG18" t="e">
        <f>AND(List1!G493,"AAAAAH77/og=")</f>
        <v>#VALUE!</v>
      </c>
      <c r="EH18" t="e">
        <f>AND(List1!H493,"AAAAAH77/ok=")</f>
        <v>#VALUE!</v>
      </c>
      <c r="EI18" t="e">
        <f>AND(List1!I493,"AAAAAH77/oo=")</f>
        <v>#VALUE!</v>
      </c>
      <c r="EJ18">
        <f>IF(List1!492:492,"AAAAAH77/os=",0)</f>
        <v>0</v>
      </c>
      <c r="EK18" t="e">
        <f>AND(List1!A494,"AAAAAH77/ow=")</f>
        <v>#VALUE!</v>
      </c>
      <c r="EL18" t="e">
        <f>AND(List1!B494,"AAAAAH77/o0=")</f>
        <v>#VALUE!</v>
      </c>
      <c r="EM18" t="e">
        <f>AND(List1!C494,"AAAAAH77/o4=")</f>
        <v>#VALUE!</v>
      </c>
      <c r="EN18" t="e">
        <f>AND(List1!E494,"AAAAAH77/o8=")</f>
        <v>#VALUE!</v>
      </c>
      <c r="EO18" t="e">
        <f>AND(List1!F494,"AAAAAH77/pA=")</f>
        <v>#VALUE!</v>
      </c>
      <c r="EP18" t="e">
        <f>AND(List1!G494,"AAAAAH77/pE=")</f>
        <v>#VALUE!</v>
      </c>
      <c r="EQ18" t="e">
        <f>AND(List1!H494,"AAAAAH77/pI=")</f>
        <v>#VALUE!</v>
      </c>
      <c r="ER18" t="e">
        <f>AND(List1!I494,"AAAAAH77/pM=")</f>
        <v>#VALUE!</v>
      </c>
      <c r="ES18">
        <f>IF(List1!493:493,"AAAAAH77/pQ=",0)</f>
        <v>0</v>
      </c>
      <c r="ET18" t="e">
        <f>AND(List1!A495,"AAAAAH77/pU=")</f>
        <v>#VALUE!</v>
      </c>
      <c r="EU18" t="e">
        <f>AND(List1!B495,"AAAAAH77/pY=")</f>
        <v>#VALUE!</v>
      </c>
      <c r="EV18" t="e">
        <f>AND(List1!C495,"AAAAAH77/pc=")</f>
        <v>#VALUE!</v>
      </c>
      <c r="EW18" t="e">
        <f>AND(List1!E495,"AAAAAH77/pg=")</f>
        <v>#VALUE!</v>
      </c>
      <c r="EX18" t="e">
        <f>AND(List1!F495,"AAAAAH77/pk=")</f>
        <v>#VALUE!</v>
      </c>
      <c r="EY18" t="e">
        <f>AND(List1!G495,"AAAAAH77/po=")</f>
        <v>#VALUE!</v>
      </c>
      <c r="EZ18" t="e">
        <f>AND(List1!H495,"AAAAAH77/ps=")</f>
        <v>#VALUE!</v>
      </c>
      <c r="FA18" t="e">
        <f>AND(List1!I495,"AAAAAH77/pw=")</f>
        <v>#VALUE!</v>
      </c>
      <c r="FB18">
        <f>IF(List1!494:494,"AAAAAH77/p0=",0)</f>
        <v>0</v>
      </c>
      <c r="FC18" t="e">
        <f>AND(List1!A496,"AAAAAH77/p4=")</f>
        <v>#VALUE!</v>
      </c>
      <c r="FD18" t="e">
        <f>AND(List1!B496,"AAAAAH77/p8=")</f>
        <v>#VALUE!</v>
      </c>
      <c r="FE18" t="e">
        <f>AND(List1!C496,"AAAAAH77/qA=")</f>
        <v>#VALUE!</v>
      </c>
      <c r="FF18" t="e">
        <f>AND(List1!E496,"AAAAAH77/qE=")</f>
        <v>#VALUE!</v>
      </c>
      <c r="FG18" t="e">
        <f>AND(List1!F496,"AAAAAH77/qI=")</f>
        <v>#VALUE!</v>
      </c>
      <c r="FH18" t="e">
        <f>AND(List1!G496,"AAAAAH77/qM=")</f>
        <v>#VALUE!</v>
      </c>
      <c r="FI18" t="e">
        <f>AND(List1!H496,"AAAAAH77/qQ=")</f>
        <v>#VALUE!</v>
      </c>
      <c r="FJ18" t="e">
        <f>AND(List1!I496,"AAAAAH77/qU=")</f>
        <v>#VALUE!</v>
      </c>
      <c r="FK18">
        <f>IF(List1!495:495,"AAAAAH77/qY=",0)</f>
        <v>0</v>
      </c>
      <c r="FL18" t="e">
        <f>AND(List1!A497,"AAAAAH77/qc=")</f>
        <v>#VALUE!</v>
      </c>
      <c r="FM18" t="e">
        <f>AND(List1!B497,"AAAAAH77/qg=")</f>
        <v>#VALUE!</v>
      </c>
      <c r="FN18" t="e">
        <f>AND(List1!C497,"AAAAAH77/qk=")</f>
        <v>#VALUE!</v>
      </c>
      <c r="FO18" t="e">
        <f>AND(List1!E497,"AAAAAH77/qo=")</f>
        <v>#VALUE!</v>
      </c>
      <c r="FP18" t="e">
        <f>AND(List1!F497,"AAAAAH77/qs=")</f>
        <v>#VALUE!</v>
      </c>
      <c r="FQ18" t="e">
        <f>AND(List1!G497,"AAAAAH77/qw=")</f>
        <v>#VALUE!</v>
      </c>
      <c r="FR18" t="e">
        <f>AND(List1!H497,"AAAAAH77/q0=")</f>
        <v>#VALUE!</v>
      </c>
      <c r="FS18" t="e">
        <f>AND(List1!I497,"AAAAAH77/q4=")</f>
        <v>#VALUE!</v>
      </c>
      <c r="FT18">
        <f>IF(List1!496:496,"AAAAAH77/q8=",0)</f>
        <v>0</v>
      </c>
      <c r="FU18" t="e">
        <f>AND(List1!A498,"AAAAAH77/rA=")</f>
        <v>#VALUE!</v>
      </c>
      <c r="FV18" t="e">
        <f>AND(List1!B498,"AAAAAH77/rE=")</f>
        <v>#VALUE!</v>
      </c>
      <c r="FW18" t="e">
        <f>AND(List1!C498,"AAAAAH77/rI=")</f>
        <v>#VALUE!</v>
      </c>
      <c r="FX18" t="e">
        <f>AND(List1!E498,"AAAAAH77/rM=")</f>
        <v>#VALUE!</v>
      </c>
      <c r="FY18" t="e">
        <f>AND(List1!F498,"AAAAAH77/rQ=")</f>
        <v>#VALUE!</v>
      </c>
      <c r="FZ18" t="e">
        <f>AND(List1!G498,"AAAAAH77/rU=")</f>
        <v>#VALUE!</v>
      </c>
      <c r="GA18" t="e">
        <f>AND(List1!H498,"AAAAAH77/rY=")</f>
        <v>#VALUE!</v>
      </c>
      <c r="GB18" t="e">
        <f>AND(List1!I498,"AAAAAH77/rc=")</f>
        <v>#VALUE!</v>
      </c>
      <c r="GC18">
        <f>IF(List1!497:497,"AAAAAH77/rg=",0)</f>
        <v>0</v>
      </c>
      <c r="GD18" t="e">
        <f>AND(List1!A499,"AAAAAH77/rk=")</f>
        <v>#VALUE!</v>
      </c>
      <c r="GE18" t="e">
        <f>AND(List1!B499,"AAAAAH77/ro=")</f>
        <v>#VALUE!</v>
      </c>
      <c r="GF18" t="e">
        <f>AND(List1!C499,"AAAAAH77/rs=")</f>
        <v>#VALUE!</v>
      </c>
      <c r="GG18" t="e">
        <f>AND(List1!E499,"AAAAAH77/rw=")</f>
        <v>#VALUE!</v>
      </c>
      <c r="GH18" t="e">
        <f>AND(List1!F499,"AAAAAH77/r0=")</f>
        <v>#VALUE!</v>
      </c>
      <c r="GI18" t="e">
        <f>AND(List1!G499,"AAAAAH77/r4=")</f>
        <v>#VALUE!</v>
      </c>
      <c r="GJ18" t="e">
        <f>AND(List1!H499,"AAAAAH77/r8=")</f>
        <v>#VALUE!</v>
      </c>
      <c r="GK18" t="e">
        <f>AND(List1!I499,"AAAAAH77/sA=")</f>
        <v>#VALUE!</v>
      </c>
      <c r="GL18">
        <f>IF(List1!498:498,"AAAAAH77/sE=",0)</f>
        <v>0</v>
      </c>
      <c r="GM18" t="e">
        <f>AND(List1!A500,"AAAAAH77/sI=")</f>
        <v>#VALUE!</v>
      </c>
      <c r="GN18" t="e">
        <f>AND(List1!B500,"AAAAAH77/sM=")</f>
        <v>#VALUE!</v>
      </c>
      <c r="GO18" t="e">
        <f>AND(List1!C500,"AAAAAH77/sQ=")</f>
        <v>#VALUE!</v>
      </c>
      <c r="GP18" t="e">
        <f>AND(List1!E500,"AAAAAH77/sU=")</f>
        <v>#VALUE!</v>
      </c>
      <c r="GQ18" t="e">
        <f>AND(List1!F500,"AAAAAH77/sY=")</f>
        <v>#VALUE!</v>
      </c>
      <c r="GR18" t="e">
        <f>AND(List1!G500,"AAAAAH77/sc=")</f>
        <v>#VALUE!</v>
      </c>
      <c r="GS18" t="e">
        <f>AND(List1!H500,"AAAAAH77/sg=")</f>
        <v>#VALUE!</v>
      </c>
      <c r="GT18" t="e">
        <f>AND(List1!I500,"AAAAAH77/sk=")</f>
        <v>#VALUE!</v>
      </c>
      <c r="GU18">
        <f>IF(List1!499:499,"AAAAAH77/so=",0)</f>
        <v>0</v>
      </c>
      <c r="GV18" t="e">
        <f>AND(List1!A501,"AAAAAH77/ss=")</f>
        <v>#VALUE!</v>
      </c>
      <c r="GW18" t="e">
        <f>AND(List1!B501,"AAAAAH77/sw=")</f>
        <v>#VALUE!</v>
      </c>
      <c r="GX18" t="e">
        <f>AND(List1!C501,"AAAAAH77/s0=")</f>
        <v>#VALUE!</v>
      </c>
      <c r="GY18" t="e">
        <f>AND(List1!E501,"AAAAAH77/s4=")</f>
        <v>#VALUE!</v>
      </c>
      <c r="GZ18" t="e">
        <f>AND(List1!F501,"AAAAAH77/s8=")</f>
        <v>#VALUE!</v>
      </c>
      <c r="HA18" t="e">
        <f>AND(List1!G501,"AAAAAH77/tA=")</f>
        <v>#VALUE!</v>
      </c>
      <c r="HB18" t="e">
        <f>AND(List1!H501,"AAAAAH77/tE=")</f>
        <v>#VALUE!</v>
      </c>
      <c r="HC18" t="e">
        <f>AND(List1!I501,"AAAAAH77/tI=")</f>
        <v>#VALUE!</v>
      </c>
      <c r="HD18">
        <f>IF(List1!500:500,"AAAAAH77/tM=",0)</f>
        <v>0</v>
      </c>
      <c r="HE18" t="e">
        <f>AND(List1!A502,"AAAAAH77/tQ=")</f>
        <v>#VALUE!</v>
      </c>
      <c r="HF18" t="e">
        <f>AND(List1!B502,"AAAAAH77/tU=")</f>
        <v>#VALUE!</v>
      </c>
      <c r="HG18" t="e">
        <f>AND(List1!C502,"AAAAAH77/tY=")</f>
        <v>#VALUE!</v>
      </c>
      <c r="HH18" t="e">
        <f>AND(List1!E502,"AAAAAH77/tc=")</f>
        <v>#VALUE!</v>
      </c>
      <c r="HI18" t="e">
        <f>AND(List1!F502,"AAAAAH77/tg=")</f>
        <v>#VALUE!</v>
      </c>
      <c r="HJ18" t="e">
        <f>AND(List1!G502,"AAAAAH77/tk=")</f>
        <v>#VALUE!</v>
      </c>
      <c r="HK18" t="e">
        <f>AND(List1!H502,"AAAAAH77/to=")</f>
        <v>#VALUE!</v>
      </c>
      <c r="HL18" t="e">
        <f>AND(List1!I502,"AAAAAH77/ts=")</f>
        <v>#VALUE!</v>
      </c>
      <c r="HM18">
        <f>IF(List1!501:501,"AAAAAH77/tw=",0)</f>
        <v>0</v>
      </c>
      <c r="HN18" t="e">
        <f>AND(List1!A503,"AAAAAH77/t0=")</f>
        <v>#VALUE!</v>
      </c>
      <c r="HO18" t="e">
        <f>AND(List1!B503,"AAAAAH77/t4=")</f>
        <v>#VALUE!</v>
      </c>
      <c r="HP18" t="e">
        <f>AND(List1!C503,"AAAAAH77/t8=")</f>
        <v>#VALUE!</v>
      </c>
      <c r="HQ18" t="e">
        <f>AND(List1!E503,"AAAAAH77/uA=")</f>
        <v>#VALUE!</v>
      </c>
      <c r="HR18" t="e">
        <f>AND(List1!F503,"AAAAAH77/uE=")</f>
        <v>#VALUE!</v>
      </c>
      <c r="HS18" t="e">
        <f>AND(List1!G503,"AAAAAH77/uI=")</f>
        <v>#VALUE!</v>
      </c>
      <c r="HT18" t="e">
        <f>AND(List1!H503,"AAAAAH77/uM=")</f>
        <v>#VALUE!</v>
      </c>
      <c r="HU18" t="e">
        <f>AND(List1!I503,"AAAAAH77/uQ=")</f>
        <v>#VALUE!</v>
      </c>
      <c r="HV18">
        <f>IF(List1!502:502,"AAAAAH77/uU=",0)</f>
        <v>0</v>
      </c>
      <c r="HW18" t="e">
        <f>AND(List1!A504,"AAAAAH77/uY=")</f>
        <v>#VALUE!</v>
      </c>
      <c r="HX18" t="e">
        <f>AND(List1!B504,"AAAAAH77/uc=")</f>
        <v>#VALUE!</v>
      </c>
      <c r="HY18" t="e">
        <f>AND(List1!C504,"AAAAAH77/ug=")</f>
        <v>#VALUE!</v>
      </c>
      <c r="HZ18" t="e">
        <f>AND(List1!E504,"AAAAAH77/uk=")</f>
        <v>#VALUE!</v>
      </c>
      <c r="IA18" t="e">
        <f>AND(List1!F504,"AAAAAH77/uo=")</f>
        <v>#VALUE!</v>
      </c>
      <c r="IB18" t="e">
        <f>AND(List1!G504,"AAAAAH77/us=")</f>
        <v>#VALUE!</v>
      </c>
      <c r="IC18" t="e">
        <f>AND(List1!H504,"AAAAAH77/uw=")</f>
        <v>#VALUE!</v>
      </c>
      <c r="ID18" t="e">
        <f>AND(List1!I504,"AAAAAH77/u0=")</f>
        <v>#VALUE!</v>
      </c>
      <c r="IE18">
        <f>IF(List1!503:503,"AAAAAH77/u4=",0)</f>
        <v>0</v>
      </c>
      <c r="IF18" t="e">
        <f>AND(List1!A505,"AAAAAH77/u8=")</f>
        <v>#VALUE!</v>
      </c>
      <c r="IG18" t="e">
        <f>AND(List1!B505,"AAAAAH77/vA=")</f>
        <v>#VALUE!</v>
      </c>
      <c r="IH18" t="e">
        <f>AND(List1!C505,"AAAAAH77/vE=")</f>
        <v>#VALUE!</v>
      </c>
      <c r="II18" t="e">
        <f>AND(List1!E505,"AAAAAH77/vI=")</f>
        <v>#VALUE!</v>
      </c>
      <c r="IJ18" t="e">
        <f>AND(List1!F505,"AAAAAH77/vM=")</f>
        <v>#VALUE!</v>
      </c>
      <c r="IK18" t="e">
        <f>AND(List1!G505,"AAAAAH77/vQ=")</f>
        <v>#VALUE!</v>
      </c>
      <c r="IL18" t="e">
        <f>AND(List1!H505,"AAAAAH77/vU=")</f>
        <v>#VALUE!</v>
      </c>
      <c r="IM18" t="e">
        <f>AND(List1!I505,"AAAAAH77/vY=")</f>
        <v>#VALUE!</v>
      </c>
      <c r="IN18">
        <f>IF(List1!504:504,"AAAAAH77/vc=",0)</f>
        <v>0</v>
      </c>
      <c r="IO18" t="e">
        <f>AND(List1!A506,"AAAAAH77/vg=")</f>
        <v>#VALUE!</v>
      </c>
      <c r="IP18" t="e">
        <f>AND(List1!B506,"AAAAAH77/vk=")</f>
        <v>#VALUE!</v>
      </c>
      <c r="IQ18" t="e">
        <f>AND(List1!C506,"AAAAAH77/vo=")</f>
        <v>#VALUE!</v>
      </c>
      <c r="IR18" t="e">
        <f>AND(List1!E506,"AAAAAH77/vs=")</f>
        <v>#VALUE!</v>
      </c>
      <c r="IS18" t="e">
        <f>AND(List1!F506,"AAAAAH77/vw=")</f>
        <v>#VALUE!</v>
      </c>
      <c r="IT18" t="e">
        <f>AND(List1!G506,"AAAAAH77/v0=")</f>
        <v>#VALUE!</v>
      </c>
      <c r="IU18" t="e">
        <f>AND(List1!H506,"AAAAAH77/v4=")</f>
        <v>#VALUE!</v>
      </c>
      <c r="IV18" t="e">
        <f>AND(List1!I506,"AAAAAH77/v8=")</f>
        <v>#VALUE!</v>
      </c>
    </row>
    <row r="19" spans="1:136" ht="12.75">
      <c r="A19" t="e">
        <f>IF(List1!505:505,"AAAAAF/I+wA=",0)</f>
        <v>#VALUE!</v>
      </c>
      <c r="B19" t="e">
        <f>AND(List1!A507,"AAAAAF/I+wE=")</f>
        <v>#VALUE!</v>
      </c>
      <c r="C19" t="e">
        <f>AND(List1!B507,"AAAAAF/I+wI=")</f>
        <v>#VALUE!</v>
      </c>
      <c r="D19" t="e">
        <f>AND(List1!C507,"AAAAAF/I+wM=")</f>
        <v>#VALUE!</v>
      </c>
      <c r="E19" t="e">
        <f>AND(List1!E507,"AAAAAF/I+wQ=")</f>
        <v>#VALUE!</v>
      </c>
      <c r="F19" t="e">
        <f>AND(List1!F507,"AAAAAF/I+wU=")</f>
        <v>#VALUE!</v>
      </c>
      <c r="G19" t="e">
        <f>AND(List1!G507,"AAAAAF/I+wY=")</f>
        <v>#VALUE!</v>
      </c>
      <c r="H19" t="e">
        <f>AND(List1!H507,"AAAAAF/I+wc=")</f>
        <v>#VALUE!</v>
      </c>
      <c r="I19" t="e">
        <f>AND(List1!I507,"AAAAAF/I+wg=")</f>
        <v>#VALUE!</v>
      </c>
      <c r="J19">
        <f>IF(List1!506:506,"AAAAAF/I+wk=",0)</f>
        <v>0</v>
      </c>
      <c r="K19" t="e">
        <f>AND(List1!A508,"AAAAAF/I+wo=")</f>
        <v>#VALUE!</v>
      </c>
      <c r="L19" t="e">
        <f>AND(List1!B508,"AAAAAF/I+ws=")</f>
        <v>#VALUE!</v>
      </c>
      <c r="M19" t="e">
        <f>AND(List1!C508,"AAAAAF/I+ww=")</f>
        <v>#VALUE!</v>
      </c>
      <c r="N19" t="e">
        <f>AND(List1!E508,"AAAAAF/I+w0=")</f>
        <v>#VALUE!</v>
      </c>
      <c r="O19" t="e">
        <f>AND(List1!F508,"AAAAAF/I+w4=")</f>
        <v>#VALUE!</v>
      </c>
      <c r="P19" t="e">
        <f>AND(List1!G508,"AAAAAF/I+w8=")</f>
        <v>#VALUE!</v>
      </c>
      <c r="Q19" t="e">
        <f>AND(List1!H508,"AAAAAF/I+xA=")</f>
        <v>#VALUE!</v>
      </c>
      <c r="R19" t="e">
        <f>AND(List1!I508,"AAAAAF/I+xE=")</f>
        <v>#VALUE!</v>
      </c>
      <c r="S19">
        <f>IF(List1!507:507,"AAAAAF/I+xI=",0)</f>
        <v>0</v>
      </c>
      <c r="T19" t="e">
        <f>AND(List1!A509,"AAAAAF/I+xM=")</f>
        <v>#VALUE!</v>
      </c>
      <c r="U19" t="e">
        <f>AND(List1!B509,"AAAAAF/I+xQ=")</f>
        <v>#VALUE!</v>
      </c>
      <c r="V19" t="e">
        <f>AND(List1!C509,"AAAAAF/I+xU=")</f>
        <v>#VALUE!</v>
      </c>
      <c r="W19" t="e">
        <f>AND(List1!E509,"AAAAAF/I+xY=")</f>
        <v>#VALUE!</v>
      </c>
      <c r="X19" t="e">
        <f>AND(List1!F509,"AAAAAF/I+xc=")</f>
        <v>#VALUE!</v>
      </c>
      <c r="Y19" t="e">
        <f>AND(List1!G509,"AAAAAF/I+xg=")</f>
        <v>#VALUE!</v>
      </c>
      <c r="Z19" t="e">
        <f>AND(List1!H509,"AAAAAF/I+xk=")</f>
        <v>#VALUE!</v>
      </c>
      <c r="AA19" t="e">
        <f>AND(List1!I509,"AAAAAF/I+xo=")</f>
        <v>#VALUE!</v>
      </c>
      <c r="AB19">
        <f>IF(List1!508:508,"AAAAAF/I+xs=",0)</f>
        <v>0</v>
      </c>
      <c r="AC19" t="e">
        <f>AND(List1!A510,"AAAAAF/I+xw=")</f>
        <v>#VALUE!</v>
      </c>
      <c r="AD19" t="e">
        <f>AND(List1!B510,"AAAAAF/I+x0=")</f>
        <v>#VALUE!</v>
      </c>
      <c r="AE19" t="e">
        <f>AND(List1!C510,"AAAAAF/I+x4=")</f>
        <v>#VALUE!</v>
      </c>
      <c r="AF19" t="e">
        <f>AND(List1!E510,"AAAAAF/I+x8=")</f>
        <v>#VALUE!</v>
      </c>
      <c r="AG19" t="e">
        <f>AND(List1!F510,"AAAAAF/I+yA=")</f>
        <v>#VALUE!</v>
      </c>
      <c r="AH19" t="e">
        <f>AND(List1!G510,"AAAAAF/I+yE=")</f>
        <v>#VALUE!</v>
      </c>
      <c r="AI19" t="e">
        <f>AND(List1!H510,"AAAAAF/I+yI=")</f>
        <v>#VALUE!</v>
      </c>
      <c r="AJ19" t="e">
        <f>AND(List1!I510,"AAAAAF/I+yM=")</f>
        <v>#VALUE!</v>
      </c>
      <c r="AK19">
        <f>IF(List1!509:509,"AAAAAF/I+yQ=",0)</f>
        <v>0</v>
      </c>
      <c r="AL19" t="e">
        <f>AND(List1!A511,"AAAAAF/I+yU=")</f>
        <v>#VALUE!</v>
      </c>
      <c r="AM19" t="e">
        <f>AND(List1!B511,"AAAAAF/I+yY=")</f>
        <v>#VALUE!</v>
      </c>
      <c r="AN19" t="e">
        <f>AND(List1!C511,"AAAAAF/I+yc=")</f>
        <v>#VALUE!</v>
      </c>
      <c r="AO19" t="e">
        <f>AND(List1!E511,"AAAAAF/I+yg=")</f>
        <v>#VALUE!</v>
      </c>
      <c r="AP19" t="e">
        <f>AND(List1!F511,"AAAAAF/I+yk=")</f>
        <v>#VALUE!</v>
      </c>
      <c r="AQ19" t="e">
        <f>AND(List1!G511,"AAAAAF/I+yo=")</f>
        <v>#VALUE!</v>
      </c>
      <c r="AR19" t="e">
        <f>AND(List1!H511,"AAAAAF/I+ys=")</f>
        <v>#VALUE!</v>
      </c>
      <c r="AS19" t="e">
        <f>AND(List1!I511,"AAAAAF/I+yw=")</f>
        <v>#VALUE!</v>
      </c>
      <c r="AT19">
        <f>IF(List1!510:510,"AAAAAF/I+y0=",0)</f>
        <v>0</v>
      </c>
      <c r="AU19" t="e">
        <f>AND(List1!A512,"AAAAAF/I+y4=")</f>
        <v>#VALUE!</v>
      </c>
      <c r="AV19" t="e">
        <f>AND(List1!B512,"AAAAAF/I+y8=")</f>
        <v>#VALUE!</v>
      </c>
      <c r="AW19" t="e">
        <f>AND(List1!C512,"AAAAAF/I+zA=")</f>
        <v>#VALUE!</v>
      </c>
      <c r="AX19" t="e">
        <f>AND(List1!E512,"AAAAAF/I+zE=")</f>
        <v>#VALUE!</v>
      </c>
      <c r="AY19" t="e">
        <f>AND(List1!F512,"AAAAAF/I+zI=")</f>
        <v>#VALUE!</v>
      </c>
      <c r="AZ19" t="e">
        <f>AND(List1!G512,"AAAAAF/I+zM=")</f>
        <v>#VALUE!</v>
      </c>
      <c r="BA19" t="e">
        <f>AND(List1!H512,"AAAAAF/I+zQ=")</f>
        <v>#VALUE!</v>
      </c>
      <c r="BB19" t="e">
        <f>AND(List1!I512,"AAAAAF/I+zU=")</f>
        <v>#VALUE!</v>
      </c>
      <c r="BC19">
        <f>IF(List1!511:511,"AAAAAF/I+zY=",0)</f>
        <v>0</v>
      </c>
      <c r="BD19" t="e">
        <f>AND(List1!A513,"AAAAAF/I+zc=")</f>
        <v>#VALUE!</v>
      </c>
      <c r="BE19" t="e">
        <f>AND(List1!B513,"AAAAAF/I+zg=")</f>
        <v>#VALUE!</v>
      </c>
      <c r="BF19" t="e">
        <f>AND(List1!C513,"AAAAAF/I+zk=")</f>
        <v>#VALUE!</v>
      </c>
      <c r="BG19" t="e">
        <f>AND(List1!E513,"AAAAAF/I+zo=")</f>
        <v>#VALUE!</v>
      </c>
      <c r="BH19" t="e">
        <f>AND(List1!F513,"AAAAAF/I+zs=")</f>
        <v>#VALUE!</v>
      </c>
      <c r="BI19" t="e">
        <f>AND(List1!G513,"AAAAAF/I+zw=")</f>
        <v>#VALUE!</v>
      </c>
      <c r="BJ19" t="e">
        <f>AND(List1!H513,"AAAAAF/I+z0=")</f>
        <v>#VALUE!</v>
      </c>
      <c r="BK19" t="e">
        <f>AND(List1!I513,"AAAAAF/I+z4=")</f>
        <v>#VALUE!</v>
      </c>
      <c r="BL19">
        <f>IF(List1!512:512,"AAAAAF/I+z8=",0)</f>
        <v>0</v>
      </c>
      <c r="BM19" t="e">
        <f>AND(List1!A514,"AAAAAF/I+0A=")</f>
        <v>#VALUE!</v>
      </c>
      <c r="BN19" t="e">
        <f>AND(List1!B514,"AAAAAF/I+0E=")</f>
        <v>#VALUE!</v>
      </c>
      <c r="BO19" t="e">
        <f>AND(List1!C514,"AAAAAF/I+0I=")</f>
        <v>#VALUE!</v>
      </c>
      <c r="BP19" t="e">
        <f>AND(List1!E514,"AAAAAF/I+0M=")</f>
        <v>#VALUE!</v>
      </c>
      <c r="BQ19" t="e">
        <f>AND(List1!F514,"AAAAAF/I+0Q=")</f>
        <v>#VALUE!</v>
      </c>
      <c r="BR19" t="e">
        <f>AND(List1!G514,"AAAAAF/I+0U=")</f>
        <v>#VALUE!</v>
      </c>
      <c r="BS19" t="e">
        <f>AND(List1!H514,"AAAAAF/I+0Y=")</f>
        <v>#VALUE!</v>
      </c>
      <c r="BT19" t="e">
        <f>AND(List1!I514,"AAAAAF/I+0c=")</f>
        <v>#VALUE!</v>
      </c>
      <c r="BU19">
        <f>IF(List1!513:513,"AAAAAF/I+0g=",0)</f>
        <v>0</v>
      </c>
      <c r="BV19" t="e">
        <f>AND(List1!A515,"AAAAAF/I+0k=")</f>
        <v>#VALUE!</v>
      </c>
      <c r="BW19" t="e">
        <f>AND(List1!B515,"AAAAAF/I+0o=")</f>
        <v>#VALUE!</v>
      </c>
      <c r="BX19" t="e">
        <f>AND(List1!C515,"AAAAAF/I+0s=")</f>
        <v>#VALUE!</v>
      </c>
      <c r="BY19" t="e">
        <f>AND(List1!E515,"AAAAAF/I+0w=")</f>
        <v>#VALUE!</v>
      </c>
      <c r="BZ19" t="e">
        <f>AND(List1!F515,"AAAAAF/I+00=")</f>
        <v>#VALUE!</v>
      </c>
      <c r="CA19" t="e">
        <f>AND(List1!G515,"AAAAAF/I+04=")</f>
        <v>#VALUE!</v>
      </c>
      <c r="CB19" t="e">
        <f>AND(List1!H515,"AAAAAF/I+08=")</f>
        <v>#VALUE!</v>
      </c>
      <c r="CC19" t="e">
        <f>AND(List1!I515,"AAAAAF/I+1A=")</f>
        <v>#VALUE!</v>
      </c>
      <c r="CD19">
        <f>IF(List1!514:514,"AAAAAF/I+1E=",0)</f>
        <v>0</v>
      </c>
      <c r="CE19" t="e">
        <f>AND(List1!A516,"AAAAAF/I+1I=")</f>
        <v>#VALUE!</v>
      </c>
      <c r="CF19" t="e">
        <f>AND(List1!B516,"AAAAAF/I+1M=")</f>
        <v>#VALUE!</v>
      </c>
      <c r="CG19" t="e">
        <f>AND(List1!C516,"AAAAAF/I+1Q=")</f>
        <v>#VALUE!</v>
      </c>
      <c r="CH19" t="e">
        <f>AND(List1!E516,"AAAAAF/I+1U=")</f>
        <v>#VALUE!</v>
      </c>
      <c r="CI19" t="e">
        <f>AND(List1!F516,"AAAAAF/I+1Y=")</f>
        <v>#VALUE!</v>
      </c>
      <c r="CJ19" t="e">
        <f>AND(List1!G516,"AAAAAF/I+1c=")</f>
        <v>#VALUE!</v>
      </c>
      <c r="CK19" t="e">
        <f>AND(List1!H516,"AAAAAF/I+1g=")</f>
        <v>#VALUE!</v>
      </c>
      <c r="CL19" t="e">
        <f>AND(List1!I516,"AAAAAF/I+1k=")</f>
        <v>#VALUE!</v>
      </c>
      <c r="CM19">
        <f>IF(List1!515:515,"AAAAAF/I+1o=",0)</f>
        <v>0</v>
      </c>
      <c r="CN19" t="e">
        <f>AND(List1!A517,"AAAAAF/I+1s=")</f>
        <v>#VALUE!</v>
      </c>
      <c r="CO19" t="e">
        <f>AND(List1!B517,"AAAAAF/I+1w=")</f>
        <v>#VALUE!</v>
      </c>
      <c r="CP19" t="e">
        <f>AND(List1!C517,"AAAAAF/I+10=")</f>
        <v>#VALUE!</v>
      </c>
      <c r="CQ19" t="e">
        <f>AND(List1!E517,"AAAAAF/I+14=")</f>
        <v>#VALUE!</v>
      </c>
      <c r="CR19" t="e">
        <f>AND(List1!F517,"AAAAAF/I+18=")</f>
        <v>#VALUE!</v>
      </c>
      <c r="CS19" t="e">
        <f>AND(List1!G517,"AAAAAF/I+2A=")</f>
        <v>#VALUE!</v>
      </c>
      <c r="CT19" t="e">
        <f>AND(List1!H517,"AAAAAF/I+2E=")</f>
        <v>#VALUE!</v>
      </c>
      <c r="CU19" t="e">
        <f>AND(List1!I517,"AAAAAF/I+2I=")</f>
        <v>#VALUE!</v>
      </c>
      <c r="CV19">
        <f>IF(List1!516:516,"AAAAAF/I+2M=",0)</f>
        <v>0</v>
      </c>
      <c r="CW19" t="e">
        <f>AND(List1!A518,"AAAAAF/I+2Q=")</f>
        <v>#VALUE!</v>
      </c>
      <c r="CX19" t="e">
        <f>AND(List1!B518,"AAAAAF/I+2U=")</f>
        <v>#VALUE!</v>
      </c>
      <c r="CY19" t="e">
        <f>AND(List1!C518,"AAAAAF/I+2Y=")</f>
        <v>#VALUE!</v>
      </c>
      <c r="CZ19" t="e">
        <f>AND(List1!E518,"AAAAAF/I+2c=")</f>
        <v>#VALUE!</v>
      </c>
      <c r="DA19" t="e">
        <f>AND(List1!F518,"AAAAAF/I+2g=")</f>
        <v>#VALUE!</v>
      </c>
      <c r="DB19" t="e">
        <f>AND(List1!G518,"AAAAAF/I+2k=")</f>
        <v>#VALUE!</v>
      </c>
      <c r="DC19" t="e">
        <f>AND(List1!H518,"AAAAAF/I+2o=")</f>
        <v>#VALUE!</v>
      </c>
      <c r="DD19" t="e">
        <f>AND(List1!I518,"AAAAAF/I+2s=")</f>
        <v>#VALUE!</v>
      </c>
      <c r="DE19">
        <f>IF(List1!517:517,"AAAAAF/I+2w=",0)</f>
        <v>0</v>
      </c>
      <c r="DF19" t="e">
        <f>AND(List1!A519,"AAAAAF/I+20=")</f>
        <v>#VALUE!</v>
      </c>
      <c r="DG19" t="e">
        <f>AND(List1!B519,"AAAAAF/I+24=")</f>
        <v>#VALUE!</v>
      </c>
      <c r="DH19" t="e">
        <f>AND(List1!C519,"AAAAAF/I+28=")</f>
        <v>#VALUE!</v>
      </c>
      <c r="DI19" t="e">
        <f>AND(List1!E519,"AAAAAF/I+3A=")</f>
        <v>#VALUE!</v>
      </c>
      <c r="DJ19" t="e">
        <f>AND(List1!F519,"AAAAAF/I+3E=")</f>
        <v>#VALUE!</v>
      </c>
      <c r="DK19" t="e">
        <f>AND(List1!G519,"AAAAAF/I+3I=")</f>
        <v>#VALUE!</v>
      </c>
      <c r="DL19" t="e">
        <f>AND(List1!H519,"AAAAAF/I+3M=")</f>
        <v>#VALUE!</v>
      </c>
      <c r="DM19" t="e">
        <f>AND(List1!I519,"AAAAAF/I+3Q=")</f>
        <v>#VALUE!</v>
      </c>
      <c r="DN19">
        <f>IF(List1!518:518,"AAAAAF/I+3U=",0)</f>
        <v>0</v>
      </c>
      <c r="DO19" t="e">
        <f>AND(List1!A520,"AAAAAF/I+3Y=")</f>
        <v>#VALUE!</v>
      </c>
      <c r="DP19" t="e">
        <f>AND(List1!B520,"AAAAAF/I+3c=")</f>
        <v>#VALUE!</v>
      </c>
      <c r="DQ19" t="e">
        <f>AND(List1!C520,"AAAAAF/I+3g=")</f>
        <v>#VALUE!</v>
      </c>
      <c r="DR19" t="e">
        <f>AND(List1!E520,"AAAAAF/I+3k=")</f>
        <v>#VALUE!</v>
      </c>
      <c r="DS19" t="e">
        <f>AND(List1!F520,"AAAAAF/I+3o=")</f>
        <v>#VALUE!</v>
      </c>
      <c r="DT19" t="e">
        <f>AND(List1!G520,"AAAAAF/I+3s=")</f>
        <v>#VALUE!</v>
      </c>
      <c r="DU19" t="e">
        <f>AND(List1!H520,"AAAAAF/I+3w=")</f>
        <v>#VALUE!</v>
      </c>
      <c r="DV19" t="e">
        <f>AND(List1!I520,"AAAAAF/I+30=")</f>
        <v>#VALUE!</v>
      </c>
      <c r="DW19" t="e">
        <f>IF(List1!A:A,"AAAAAF/I+34=",0)</f>
        <v>#VALUE!</v>
      </c>
      <c r="DX19" t="e">
        <f>IF(List1!B:B,"AAAAAF/I+38=",0)</f>
        <v>#VALUE!</v>
      </c>
      <c r="DY19" t="e">
        <f>IF(List1!C:C,"AAAAAF/I+4A=",0)</f>
        <v>#VALUE!</v>
      </c>
      <c r="DZ19" t="str">
        <f>IF(List1!E:E,"AAAAAF/I+4E=",0)</f>
        <v>AAAAAF/I+4E=</v>
      </c>
      <c r="EA19" t="str">
        <f>IF(List1!F:F,"AAAAAF/I+4I=",0)</f>
        <v>AAAAAF/I+4I=</v>
      </c>
      <c r="EB19" t="str">
        <f>IF(List1!G:G,"AAAAAF/I+4M=",0)</f>
        <v>AAAAAF/I+4M=</v>
      </c>
      <c r="EC19" t="str">
        <f>IF(List1!H:H,"AAAAAF/I+4Q=",0)</f>
        <v>AAAAAF/I+4Q=</v>
      </c>
      <c r="ED19">
        <f>IF(List1!I:I,"AAAAAF/I+4U=",0)</f>
        <v>0</v>
      </c>
      <c r="EE19" t="s">
        <v>1025</v>
      </c>
      <c r="EF19" t="e">
        <f>IF("N",List1!_FILTERDATABASE,"AAAAAF/I+4c=")</f>
        <v>#VALUE!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Tachyon Czech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Schwachula</dc:creator>
  <cp:keywords/>
  <dc:description/>
  <cp:lastModifiedBy>Kristian Schwachula</cp:lastModifiedBy>
  <cp:lastPrinted>2014-11-16T22:30:47Z</cp:lastPrinted>
  <dcterms:created xsi:type="dcterms:W3CDTF">2006-06-05T06:59:16Z</dcterms:created>
  <dcterms:modified xsi:type="dcterms:W3CDTF">2015-01-11T21:44:21Z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1_b0yixP_OtZI502Ik8Si4qN8-QI29uj7LAMr7qsd9as</vt:lpwstr>
  </property>
  <property fmtid="{D5CDD505-2E9C-101B-9397-08002B2CF9AE}" pid="4" name="Google.Documents.RevisionId">
    <vt:lpwstr>14309470908023986276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